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8000" windowHeight="12495"/>
  </bookViews>
  <sheets>
    <sheet name="TDS" sheetId="7" r:id="rId1"/>
    <sheet name="USM" sheetId="5" r:id="rId2"/>
    <sheet name="TELECOM" sheetId="8" r:id="rId3"/>
    <sheet name="Sheet1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BF53" i="8" l="1"/>
  <c r="BF36" i="8"/>
  <c r="BF38" i="8" s="1"/>
  <c r="BF30" i="8"/>
  <c r="BF16" i="8"/>
  <c r="BF18" i="8"/>
  <c r="BD36" i="8"/>
  <c r="BD30" i="8"/>
  <c r="BF46" i="8"/>
  <c r="BD46" i="8"/>
  <c r="BF28" i="8"/>
  <c r="BD28" i="8"/>
  <c r="BD16" i="8"/>
  <c r="BD18" i="8" s="1"/>
  <c r="EP35" i="5"/>
  <c r="EN35" i="5"/>
  <c r="EP25" i="5"/>
  <c r="EN25" i="5"/>
  <c r="EP13" i="5"/>
  <c r="EN13" i="5"/>
  <c r="BF39" i="7"/>
  <c r="BF32" i="7"/>
  <c r="BD39" i="7"/>
  <c r="BD32" i="7"/>
  <c r="BF48" i="8" l="1"/>
  <c r="BD38" i="8"/>
  <c r="BD48" i="8" s="1"/>
  <c r="BD53" i="8" s="1"/>
  <c r="EP27" i="5"/>
  <c r="EP37" i="5" s="1"/>
  <c r="EP39" i="5" s="1"/>
  <c r="EP41" i="5" s="1"/>
  <c r="EN27" i="5"/>
  <c r="EN37" i="5" s="1"/>
  <c r="EN39" i="5" s="1"/>
  <c r="EN41" i="5" s="1"/>
  <c r="BF78" i="7"/>
  <c r="BD78" i="7"/>
  <c r="BF71" i="7"/>
  <c r="BD71" i="7"/>
  <c r="BF54" i="7"/>
  <c r="BD54" i="7"/>
  <c r="BF46" i="7"/>
  <c r="BD46" i="7"/>
  <c r="BF45" i="7"/>
  <c r="BD45" i="7"/>
  <c r="BF24" i="7"/>
  <c r="BD24" i="7"/>
  <c r="BD44" i="7" s="1"/>
  <c r="BF14" i="7"/>
  <c r="BD14" i="7"/>
  <c r="BF41" i="7" l="1"/>
  <c r="BD47" i="7"/>
  <c r="BD56" i="7" s="1"/>
  <c r="BD58" i="7" s="1"/>
  <c r="BD60" i="7" s="1"/>
  <c r="BD62" i="7" s="1"/>
  <c r="BD64" i="7" s="1"/>
  <c r="BF44" i="7"/>
  <c r="BF47" i="7" s="1"/>
  <c r="BF56" i="7" s="1"/>
  <c r="BF58" i="7" s="1"/>
  <c r="BF60" i="7" s="1"/>
  <c r="BF62" i="7" s="1"/>
  <c r="BF64" i="7" s="1"/>
  <c r="BD41" i="7"/>
  <c r="BB48" i="8"/>
  <c r="BB38" i="8"/>
  <c r="BB35" i="8"/>
  <c r="BB34" i="8"/>
  <c r="BB30" i="8"/>
  <c r="BB18" i="8"/>
  <c r="BB14" i="8"/>
  <c r="BB13" i="8"/>
  <c r="AZ53" i="8"/>
  <c r="AZ48" i="8"/>
  <c r="AZ38" i="8"/>
  <c r="AZ35" i="8"/>
  <c r="AZ34" i="8"/>
  <c r="AZ16" i="8"/>
  <c r="AZ14" i="8"/>
  <c r="AZ13" i="8"/>
  <c r="BB46" i="8" l="1"/>
  <c r="AZ46" i="8"/>
  <c r="BB36" i="8"/>
  <c r="AZ36" i="8"/>
  <c r="BB28" i="8"/>
  <c r="AZ28" i="8"/>
  <c r="BB16" i="8"/>
  <c r="AZ18" i="8"/>
  <c r="EL35" i="5"/>
  <c r="EJ35" i="5"/>
  <c r="EL25" i="5"/>
  <c r="EJ25" i="5"/>
  <c r="EL13" i="5"/>
  <c r="EJ13" i="5"/>
  <c r="BB78" i="7"/>
  <c r="AZ78" i="7"/>
  <c r="BB71" i="7"/>
  <c r="AZ71" i="7"/>
  <c r="BB54" i="7"/>
  <c r="AZ54" i="7"/>
  <c r="BB39" i="7"/>
  <c r="BB46" i="7" s="1"/>
  <c r="AZ39" i="7"/>
  <c r="AZ46" i="7" s="1"/>
  <c r="BB32" i="7"/>
  <c r="BB45" i="7" s="1"/>
  <c r="AZ32" i="7"/>
  <c r="BB24" i="7"/>
  <c r="BB44" i="7" s="1"/>
  <c r="AZ24" i="7"/>
  <c r="AZ44" i="7" s="1"/>
  <c r="BB14" i="7"/>
  <c r="AZ14" i="7"/>
  <c r="BB53" i="8" l="1"/>
  <c r="AZ30" i="8"/>
  <c r="EL27" i="5"/>
  <c r="EL37" i="5" s="1"/>
  <c r="EL39" i="5" s="1"/>
  <c r="EL41" i="5" s="1"/>
  <c r="EJ27" i="5"/>
  <c r="EJ37" i="5" s="1"/>
  <c r="EJ39" i="5" s="1"/>
  <c r="EJ41" i="5" s="1"/>
  <c r="BB47" i="7"/>
  <c r="BB56" i="7" s="1"/>
  <c r="BB58" i="7" s="1"/>
  <c r="BB60" i="7" s="1"/>
  <c r="BB62" i="7" s="1"/>
  <c r="BB64" i="7" s="1"/>
  <c r="AZ41" i="7"/>
  <c r="AZ45" i="7"/>
  <c r="AZ47" i="7" s="1"/>
  <c r="AZ56" i="7" s="1"/>
  <c r="AZ58" i="7" s="1"/>
  <c r="AZ60" i="7" s="1"/>
  <c r="AZ62" i="7" s="1"/>
  <c r="AZ64" i="7" s="1"/>
  <c r="BB41" i="7"/>
  <c r="AX35" i="8"/>
  <c r="AX34" i="8"/>
  <c r="AX30" i="8"/>
  <c r="AX13" i="8"/>
  <c r="AX14" i="8"/>
  <c r="AX46" i="7"/>
  <c r="AX45" i="7"/>
  <c r="AX46" i="8"/>
  <c r="AX28" i="8"/>
  <c r="AX16" i="8"/>
  <c r="AX18" i="8" s="1"/>
  <c r="EH35" i="5"/>
  <c r="EH25" i="5"/>
  <c r="EH13" i="5"/>
  <c r="AX78" i="7"/>
  <c r="AX71" i="7"/>
  <c r="AX54" i="7"/>
  <c r="AX39" i="7"/>
  <c r="AX32" i="7"/>
  <c r="AX24" i="7"/>
  <c r="AX44" i="7" s="1"/>
  <c r="AX14" i="7"/>
  <c r="AX36" i="8" l="1"/>
  <c r="AX38" i="8" s="1"/>
  <c r="AX48" i="8" s="1"/>
  <c r="AX53" i="8" s="1"/>
  <c r="EH27" i="5"/>
  <c r="EH37" i="5" s="1"/>
  <c r="EH39" i="5" s="1"/>
  <c r="EH41" i="5" s="1"/>
  <c r="AX41" i="7"/>
  <c r="AX47" i="7"/>
  <c r="AX56" i="7" s="1"/>
  <c r="AX58" i="7" s="1"/>
  <c r="AX60" i="7" s="1"/>
  <c r="AX62" i="7" s="1"/>
  <c r="AX64" i="7" s="1"/>
  <c r="AT53" i="8"/>
  <c r="AV53" i="8"/>
  <c r="AV48" i="8"/>
  <c r="AV38" i="8"/>
  <c r="AV35" i="8"/>
  <c r="AV34" i="8"/>
  <c r="AV30" i="8"/>
  <c r="AV14" i="8"/>
  <c r="AV13" i="8"/>
  <c r="AV16" i="8" s="1"/>
  <c r="AV18" i="8" s="1"/>
  <c r="AT46" i="8"/>
  <c r="AT35" i="8"/>
  <c r="AT34" i="8"/>
  <c r="AT36" i="8" s="1"/>
  <c r="AT38" i="8" s="1"/>
  <c r="AT28" i="8"/>
  <c r="AT16" i="8"/>
  <c r="AT14" i="8"/>
  <c r="AT13" i="8"/>
  <c r="AV46" i="8"/>
  <c r="AV36" i="8"/>
  <c r="AV28" i="8"/>
  <c r="EF35" i="5"/>
  <c r="ED35" i="5"/>
  <c r="EF25" i="5"/>
  <c r="ED25" i="5"/>
  <c r="EF13" i="5"/>
  <c r="ED13" i="5"/>
  <c r="AV45" i="7"/>
  <c r="AT46" i="7"/>
  <c r="AT45" i="7"/>
  <c r="AV78" i="7"/>
  <c r="AT78" i="7"/>
  <c r="AV71" i="7"/>
  <c r="AT71" i="7"/>
  <c r="AV54" i="7"/>
  <c r="AT54" i="7"/>
  <c r="AV39" i="7"/>
  <c r="AV46" i="7" s="1"/>
  <c r="AT39" i="7"/>
  <c r="AV32" i="7"/>
  <c r="AT32" i="7"/>
  <c r="AV24" i="7"/>
  <c r="AV44" i="7" s="1"/>
  <c r="AT24" i="7"/>
  <c r="AT44" i="7" s="1"/>
  <c r="AV14" i="7"/>
  <c r="AT14" i="7"/>
  <c r="AT48" i="8" l="1"/>
  <c r="AT18" i="8"/>
  <c r="AT30" i="8" s="1"/>
  <c r="EF27" i="5"/>
  <c r="EF37" i="5" s="1"/>
  <c r="EF39" i="5" s="1"/>
  <c r="EF41" i="5" s="1"/>
  <c r="ED27" i="5"/>
  <c r="ED37" i="5" s="1"/>
  <c r="ED39" i="5" s="1"/>
  <c r="ED41" i="5" s="1"/>
  <c r="AV47" i="7"/>
  <c r="AV56" i="7" s="1"/>
  <c r="AV58" i="7" s="1"/>
  <c r="AV60" i="7" s="1"/>
  <c r="AV62" i="7" s="1"/>
  <c r="AV64" i="7" s="1"/>
  <c r="AT47" i="7"/>
  <c r="AT56" i="7" s="1"/>
  <c r="AT58" i="7" s="1"/>
  <c r="AT60" i="7" s="1"/>
  <c r="AT62" i="7" s="1"/>
  <c r="AT64" i="7" s="1"/>
  <c r="AT41" i="7"/>
  <c r="AV41" i="7"/>
  <c r="AR53" i="8"/>
  <c r="AR48" i="8"/>
  <c r="AR30" i="8"/>
  <c r="AP53" i="8"/>
  <c r="AP48" i="8"/>
  <c r="AP30" i="8"/>
  <c r="AR35" i="8"/>
  <c r="AR34" i="8"/>
  <c r="AR14" i="8"/>
  <c r="AR13" i="8"/>
  <c r="AP35" i="8"/>
  <c r="AP34" i="8"/>
  <c r="AP14" i="8" l="1"/>
  <c r="AP13" i="8"/>
  <c r="AR46" i="8" l="1"/>
  <c r="AP46" i="8"/>
  <c r="AR36" i="8"/>
  <c r="AR38" i="8" s="1"/>
  <c r="AP36" i="8"/>
  <c r="AP38" i="8" s="1"/>
  <c r="AR28" i="8"/>
  <c r="AP28" i="8"/>
  <c r="AR16" i="8"/>
  <c r="AR18" i="8" s="1"/>
  <c r="AP16" i="8"/>
  <c r="AP18" i="8" s="1"/>
  <c r="EB35" i="5" l="1"/>
  <c r="DZ35" i="5"/>
  <c r="EB25" i="5"/>
  <c r="DZ25" i="5"/>
  <c r="EB13" i="5"/>
  <c r="DZ13" i="5"/>
  <c r="AR78" i="7"/>
  <c r="AP78" i="7"/>
  <c r="AR71" i="7"/>
  <c r="AP71" i="7"/>
  <c r="AR54" i="7"/>
  <c r="AP54" i="7"/>
  <c r="AR39" i="7"/>
  <c r="AR46" i="7" s="1"/>
  <c r="AP39" i="7"/>
  <c r="AP46" i="7" s="1"/>
  <c r="AR32" i="7"/>
  <c r="AP32" i="7"/>
  <c r="AP45" i="7" s="1"/>
  <c r="AR24" i="7"/>
  <c r="AR44" i="7" s="1"/>
  <c r="AP24" i="7"/>
  <c r="AP44" i="7" s="1"/>
  <c r="AR14" i="7"/>
  <c r="AP14" i="7"/>
  <c r="EB27" i="5" l="1"/>
  <c r="EB37" i="5" s="1"/>
  <c r="EB39" i="5" s="1"/>
  <c r="EB41" i="5" s="1"/>
  <c r="DZ27" i="5"/>
  <c r="DZ37" i="5" s="1"/>
  <c r="DZ39" i="5" s="1"/>
  <c r="DZ41" i="5" s="1"/>
  <c r="AR41" i="7"/>
  <c r="AP47" i="7"/>
  <c r="AP56" i="7" s="1"/>
  <c r="AP58" i="7" s="1"/>
  <c r="AP60" i="7" s="1"/>
  <c r="AP62" i="7" s="1"/>
  <c r="AP64" i="7" s="1"/>
  <c r="AP41" i="7"/>
  <c r="AR45" i="7"/>
  <c r="AR47" i="7" s="1"/>
  <c r="AR56" i="7" s="1"/>
  <c r="AR58" i="7" s="1"/>
  <c r="AR60" i="7" s="1"/>
  <c r="AR62" i="7" s="1"/>
  <c r="AR64" i="7" s="1"/>
  <c r="AN48" i="8"/>
  <c r="AL48" i="8"/>
  <c r="AN35" i="8"/>
  <c r="AN34" i="8"/>
  <c r="AN14" i="8"/>
  <c r="AN13" i="8"/>
  <c r="AL35" i="8"/>
  <c r="AL34" i="8"/>
  <c r="AL13" i="8"/>
  <c r="AL14" i="8"/>
  <c r="AN46" i="8" l="1"/>
  <c r="AL46" i="8"/>
  <c r="AN36" i="8"/>
  <c r="AN38" i="8" s="1"/>
  <c r="AL36" i="8"/>
  <c r="AL38" i="8" s="1"/>
  <c r="AN28" i="8"/>
  <c r="AL28" i="8"/>
  <c r="AN16" i="8"/>
  <c r="AN18" i="8" s="1"/>
  <c r="AL16" i="8"/>
  <c r="AL18" i="8" s="1"/>
  <c r="AN30" i="8" l="1"/>
  <c r="AN53" i="8" s="1"/>
  <c r="AL30" i="8"/>
  <c r="AL53" i="8" s="1"/>
  <c r="DX35" i="5"/>
  <c r="DV35" i="5"/>
  <c r="DX25" i="5"/>
  <c r="DV25" i="5"/>
  <c r="DX13" i="5"/>
  <c r="DV13" i="5"/>
  <c r="DV27" i="5" s="1"/>
  <c r="DV37" i="5" s="1"/>
  <c r="DV39" i="5" s="1"/>
  <c r="DV41" i="5" s="1"/>
  <c r="AN78" i="7"/>
  <c r="AL78" i="7"/>
  <c r="AN71" i="7"/>
  <c r="AL71" i="7"/>
  <c r="AN54" i="7"/>
  <c r="AL54" i="7"/>
  <c r="AN39" i="7"/>
  <c r="AN46" i="7" s="1"/>
  <c r="AL39" i="7"/>
  <c r="AL46" i="7" s="1"/>
  <c r="AN32" i="7"/>
  <c r="AN45" i="7" s="1"/>
  <c r="AL32" i="7"/>
  <c r="AL45" i="7" s="1"/>
  <c r="AN24" i="7"/>
  <c r="AN44" i="7" s="1"/>
  <c r="AL24" i="7"/>
  <c r="AL44" i="7" s="1"/>
  <c r="AN14" i="7"/>
  <c r="AL14" i="7"/>
  <c r="DX27" i="5" l="1"/>
  <c r="DX37" i="5" s="1"/>
  <c r="DX39" i="5" s="1"/>
  <c r="DX41" i="5" s="1"/>
  <c r="AN47" i="7"/>
  <c r="AN56" i="7" s="1"/>
  <c r="AN58" i="7" s="1"/>
  <c r="AN60" i="7" s="1"/>
  <c r="AN62" i="7" s="1"/>
  <c r="AN64" i="7" s="1"/>
  <c r="AL47" i="7"/>
  <c r="AL56" i="7" s="1"/>
  <c r="AL58" i="7" s="1"/>
  <c r="AL60" i="7" s="1"/>
  <c r="AL62" i="7" s="1"/>
  <c r="AL64" i="7" s="1"/>
  <c r="AL41" i="7"/>
  <c r="AN41" i="7"/>
  <c r="AJ46" i="8"/>
  <c r="AH46" i="8" l="1"/>
  <c r="AF46" i="8"/>
  <c r="AD46" i="8"/>
  <c r="AB46" i="8"/>
  <c r="Z46" i="8"/>
  <c r="X46" i="8"/>
  <c r="V46" i="8"/>
  <c r="T46" i="8"/>
  <c r="R46" i="8"/>
  <c r="P46" i="8"/>
  <c r="N46" i="8"/>
  <c r="L46" i="8"/>
  <c r="J46" i="8"/>
  <c r="H46" i="8"/>
  <c r="F46" i="8"/>
  <c r="AD36" i="8"/>
  <c r="AD38" i="8" s="1"/>
  <c r="AD48" i="8" s="1"/>
  <c r="AB36" i="8"/>
  <c r="AB38" i="8" s="1"/>
  <c r="AB48" i="8" s="1"/>
  <c r="Z36" i="8"/>
  <c r="Z38" i="8" s="1"/>
  <c r="Z48" i="8" s="1"/>
  <c r="X36" i="8"/>
  <c r="X38" i="8" s="1"/>
  <c r="X48" i="8" s="1"/>
  <c r="V36" i="8"/>
  <c r="V38" i="8" s="1"/>
  <c r="V48" i="8" s="1"/>
  <c r="T36" i="8"/>
  <c r="T38" i="8" s="1"/>
  <c r="T48" i="8" s="1"/>
  <c r="R36" i="8"/>
  <c r="R38" i="8" s="1"/>
  <c r="R48" i="8" s="1"/>
  <c r="P36" i="8"/>
  <c r="P38" i="8" s="1"/>
  <c r="P48" i="8" s="1"/>
  <c r="N36" i="8"/>
  <c r="N38" i="8" s="1"/>
  <c r="N48" i="8" s="1"/>
  <c r="L36" i="8"/>
  <c r="L38" i="8" s="1"/>
  <c r="L48" i="8" s="1"/>
  <c r="J36" i="8"/>
  <c r="J38" i="8" s="1"/>
  <c r="J48" i="8" s="1"/>
  <c r="H36" i="8"/>
  <c r="H38" i="8" s="1"/>
  <c r="H48" i="8" s="1"/>
  <c r="F36" i="8"/>
  <c r="F38" i="8" s="1"/>
  <c r="F48" i="8" s="1"/>
  <c r="AJ35" i="8"/>
  <c r="AH35" i="8"/>
  <c r="AH36" i="8" s="1"/>
  <c r="AH38" i="8" s="1"/>
  <c r="AH48" i="8" s="1"/>
  <c r="AF35" i="8"/>
  <c r="AF36" i="8" s="1"/>
  <c r="AF38" i="8" s="1"/>
  <c r="AF48" i="8" s="1"/>
  <c r="AB35" i="8"/>
  <c r="AJ34" i="8"/>
  <c r="AJ36" i="8" s="1"/>
  <c r="AJ38" i="8" s="1"/>
  <c r="AJ48" i="8" s="1"/>
  <c r="AJ28" i="8"/>
  <c r="AJ30" i="8" s="1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H16" i="8"/>
  <c r="AH18" i="8" s="1"/>
  <c r="AH30" i="8" s="1"/>
  <c r="AH53" i="8" s="1"/>
  <c r="AF16" i="8"/>
  <c r="AF18" i="8" s="1"/>
  <c r="AF30" i="8" s="1"/>
  <c r="AF53" i="8" s="1"/>
  <c r="AD16" i="8"/>
  <c r="AD18" i="8" s="1"/>
  <c r="AD30" i="8" s="1"/>
  <c r="AD53" i="8" s="1"/>
  <c r="AB16" i="8"/>
  <c r="AB18" i="8" s="1"/>
  <c r="AB30" i="8" s="1"/>
  <c r="AB53" i="8" s="1"/>
  <c r="Z16" i="8"/>
  <c r="Z18" i="8" s="1"/>
  <c r="Z30" i="8" s="1"/>
  <c r="Z53" i="8" s="1"/>
  <c r="X16" i="8"/>
  <c r="X18" i="8" s="1"/>
  <c r="X30" i="8" s="1"/>
  <c r="X53" i="8" s="1"/>
  <c r="V16" i="8"/>
  <c r="V18" i="8" s="1"/>
  <c r="V30" i="8" s="1"/>
  <c r="V53" i="8" s="1"/>
  <c r="T16" i="8"/>
  <c r="T18" i="8" s="1"/>
  <c r="T30" i="8" s="1"/>
  <c r="T53" i="8" s="1"/>
  <c r="R16" i="8"/>
  <c r="R18" i="8" s="1"/>
  <c r="R30" i="8" s="1"/>
  <c r="R53" i="8" s="1"/>
  <c r="P16" i="8"/>
  <c r="P18" i="8" s="1"/>
  <c r="P30" i="8" s="1"/>
  <c r="P53" i="8" s="1"/>
  <c r="N16" i="8"/>
  <c r="N18" i="8" s="1"/>
  <c r="N30" i="8" s="1"/>
  <c r="N53" i="8" s="1"/>
  <c r="L16" i="8"/>
  <c r="L18" i="8" s="1"/>
  <c r="L30" i="8" s="1"/>
  <c r="L53" i="8" s="1"/>
  <c r="J16" i="8"/>
  <c r="J18" i="8" s="1"/>
  <c r="J30" i="8" s="1"/>
  <c r="J53" i="8" s="1"/>
  <c r="H16" i="8"/>
  <c r="H18" i="8" s="1"/>
  <c r="H30" i="8" s="1"/>
  <c r="H53" i="8" s="1"/>
  <c r="F16" i="8"/>
  <c r="F18" i="8" s="1"/>
  <c r="F30" i="8" s="1"/>
  <c r="F53" i="8" s="1"/>
  <c r="R15" i="8"/>
  <c r="AJ14" i="8"/>
  <c r="AJ16" i="8" s="1"/>
  <c r="AJ18" i="8" s="1"/>
  <c r="AJ13" i="8"/>
  <c r="L13" i="8"/>
  <c r="AJ78" i="7"/>
  <c r="AH78" i="7"/>
  <c r="AF78" i="7"/>
  <c r="AD78" i="7"/>
  <c r="AB78" i="7"/>
  <c r="Z78" i="7"/>
  <c r="X78" i="7"/>
  <c r="V78" i="7"/>
  <c r="T78" i="7"/>
  <c r="R78" i="7"/>
  <c r="P78" i="7"/>
  <c r="N78" i="7"/>
  <c r="L78" i="7"/>
  <c r="J78" i="7"/>
  <c r="H78" i="7"/>
  <c r="F78" i="7"/>
  <c r="AJ71" i="7"/>
  <c r="AH71" i="7"/>
  <c r="AF71" i="7"/>
  <c r="AD71" i="7"/>
  <c r="AB71" i="7"/>
  <c r="Z71" i="7"/>
  <c r="X71" i="7"/>
  <c r="V71" i="7"/>
  <c r="T71" i="7"/>
  <c r="R71" i="7"/>
  <c r="P71" i="7"/>
  <c r="N71" i="7"/>
  <c r="L71" i="7"/>
  <c r="J71" i="7"/>
  <c r="H71" i="7"/>
  <c r="F71" i="7"/>
  <c r="AJ54" i="7"/>
  <c r="AH54" i="7"/>
  <c r="AF54" i="7"/>
  <c r="AD54" i="7"/>
  <c r="AB54" i="7"/>
  <c r="Z54" i="7"/>
  <c r="X54" i="7"/>
  <c r="V54" i="7"/>
  <c r="T54" i="7"/>
  <c r="R54" i="7"/>
  <c r="P54" i="7"/>
  <c r="N54" i="7"/>
  <c r="J54" i="7"/>
  <c r="F54" i="7"/>
  <c r="N50" i="7"/>
  <c r="L50" i="7"/>
  <c r="L54" i="7" s="1"/>
  <c r="H50" i="7"/>
  <c r="H54" i="7" s="1"/>
  <c r="AJ39" i="7"/>
  <c r="AJ46" i="7" s="1"/>
  <c r="AH39" i="7"/>
  <c r="AH46" i="7" s="1"/>
  <c r="AF39" i="7"/>
  <c r="AF46" i="7" s="1"/>
  <c r="AD39" i="7"/>
  <c r="AD46" i="7" s="1"/>
  <c r="AB39" i="7"/>
  <c r="AB46" i="7" s="1"/>
  <c r="Z39" i="7"/>
  <c r="Z46" i="7" s="1"/>
  <c r="X39" i="7"/>
  <c r="X46" i="7" s="1"/>
  <c r="V39" i="7"/>
  <c r="V46" i="7" s="1"/>
  <c r="T39" i="7"/>
  <c r="T46" i="7" s="1"/>
  <c r="R39" i="7"/>
  <c r="R46" i="7" s="1"/>
  <c r="P39" i="7"/>
  <c r="P46" i="7" s="1"/>
  <c r="N39" i="7"/>
  <c r="N46" i="7" s="1"/>
  <c r="L39" i="7"/>
  <c r="L46" i="7" s="1"/>
  <c r="J39" i="7"/>
  <c r="J46" i="7" s="1"/>
  <c r="H39" i="7"/>
  <c r="H46" i="7" s="1"/>
  <c r="F39" i="7"/>
  <c r="F46" i="7" s="1"/>
  <c r="AJ32" i="7"/>
  <c r="AJ45" i="7" s="1"/>
  <c r="AH32" i="7"/>
  <c r="AH45" i="7" s="1"/>
  <c r="AF32" i="7"/>
  <c r="AF45" i="7" s="1"/>
  <c r="AD32" i="7"/>
  <c r="AD45" i="7" s="1"/>
  <c r="AB32" i="7"/>
  <c r="AB45" i="7" s="1"/>
  <c r="Z32" i="7"/>
  <c r="Z45" i="7" s="1"/>
  <c r="X32" i="7"/>
  <c r="X45" i="7" s="1"/>
  <c r="V32" i="7"/>
  <c r="V45" i="7" s="1"/>
  <c r="T32" i="7"/>
  <c r="T45" i="7" s="1"/>
  <c r="R32" i="7"/>
  <c r="R45" i="7" s="1"/>
  <c r="P32" i="7"/>
  <c r="P45" i="7" s="1"/>
  <c r="N32" i="7"/>
  <c r="N45" i="7" s="1"/>
  <c r="L32" i="7"/>
  <c r="L45" i="7" s="1"/>
  <c r="J32" i="7"/>
  <c r="J45" i="7" s="1"/>
  <c r="H32" i="7"/>
  <c r="H45" i="7" s="1"/>
  <c r="F32" i="7"/>
  <c r="F45" i="7" s="1"/>
  <c r="AJ24" i="7"/>
  <c r="AJ44" i="7" s="1"/>
  <c r="AJ47" i="7" s="1"/>
  <c r="AJ56" i="7" s="1"/>
  <c r="AJ58" i="7" s="1"/>
  <c r="AJ60" i="7" s="1"/>
  <c r="AJ62" i="7" s="1"/>
  <c r="AJ64" i="7" s="1"/>
  <c r="AH24" i="7"/>
  <c r="AH44" i="7" s="1"/>
  <c r="AH47" i="7" s="1"/>
  <c r="AH56" i="7" s="1"/>
  <c r="AH58" i="7" s="1"/>
  <c r="AH60" i="7" s="1"/>
  <c r="AH62" i="7" s="1"/>
  <c r="AH64" i="7" s="1"/>
  <c r="AF24" i="7"/>
  <c r="AF44" i="7" s="1"/>
  <c r="AF47" i="7" s="1"/>
  <c r="AF56" i="7" s="1"/>
  <c r="AF58" i="7" s="1"/>
  <c r="AF60" i="7" s="1"/>
  <c r="AF62" i="7" s="1"/>
  <c r="AF64" i="7" s="1"/>
  <c r="AD24" i="7"/>
  <c r="AD44" i="7" s="1"/>
  <c r="AD47" i="7" s="1"/>
  <c r="AD56" i="7" s="1"/>
  <c r="AD58" i="7" s="1"/>
  <c r="AD60" i="7" s="1"/>
  <c r="AD62" i="7" s="1"/>
  <c r="AD64" i="7" s="1"/>
  <c r="AB24" i="7"/>
  <c r="AB44" i="7" s="1"/>
  <c r="AB47" i="7" s="1"/>
  <c r="AB56" i="7" s="1"/>
  <c r="AB58" i="7" s="1"/>
  <c r="AB60" i="7" s="1"/>
  <c r="AB62" i="7" s="1"/>
  <c r="AB64" i="7" s="1"/>
  <c r="Z24" i="7"/>
  <c r="Z44" i="7" s="1"/>
  <c r="Z47" i="7" s="1"/>
  <c r="Z56" i="7" s="1"/>
  <c r="Z58" i="7" s="1"/>
  <c r="Z60" i="7" s="1"/>
  <c r="Z62" i="7" s="1"/>
  <c r="Z64" i="7" s="1"/>
  <c r="X24" i="7"/>
  <c r="X44" i="7" s="1"/>
  <c r="X47" i="7" s="1"/>
  <c r="X56" i="7" s="1"/>
  <c r="X58" i="7" s="1"/>
  <c r="X60" i="7" s="1"/>
  <c r="X62" i="7" s="1"/>
  <c r="X64" i="7" s="1"/>
  <c r="V24" i="7"/>
  <c r="V44" i="7" s="1"/>
  <c r="V47" i="7" s="1"/>
  <c r="V56" i="7" s="1"/>
  <c r="V58" i="7" s="1"/>
  <c r="V60" i="7" s="1"/>
  <c r="V62" i="7" s="1"/>
  <c r="V64" i="7" s="1"/>
  <c r="T24" i="7"/>
  <c r="T41" i="7" s="1"/>
  <c r="R24" i="7"/>
  <c r="R44" i="7" s="1"/>
  <c r="R47" i="7" s="1"/>
  <c r="R56" i="7" s="1"/>
  <c r="R58" i="7" s="1"/>
  <c r="R60" i="7" s="1"/>
  <c r="R62" i="7" s="1"/>
  <c r="R64" i="7" s="1"/>
  <c r="P24" i="7"/>
  <c r="P41" i="7" s="1"/>
  <c r="N24" i="7"/>
  <c r="N41" i="7" s="1"/>
  <c r="L24" i="7"/>
  <c r="L41" i="7" s="1"/>
  <c r="J24" i="7"/>
  <c r="J41" i="7" s="1"/>
  <c r="H24" i="7"/>
  <c r="H41" i="7" s="1"/>
  <c r="F24" i="7"/>
  <c r="F41" i="7" s="1"/>
  <c r="AJ14" i="7"/>
  <c r="AH14" i="7"/>
  <c r="AF14" i="7"/>
  <c r="AD14" i="7"/>
  <c r="AB14" i="7"/>
  <c r="Z14" i="7"/>
  <c r="X14" i="7"/>
  <c r="V14" i="7"/>
  <c r="T14" i="7"/>
  <c r="R14" i="7"/>
  <c r="N14" i="7"/>
  <c r="L14" i="7"/>
  <c r="F14" i="7"/>
  <c r="P11" i="7"/>
  <c r="P44" i="7" s="1"/>
  <c r="P47" i="7" s="1"/>
  <c r="P56" i="7" s="1"/>
  <c r="P58" i="7" s="1"/>
  <c r="P60" i="7" s="1"/>
  <c r="P62" i="7" s="1"/>
  <c r="P64" i="7" s="1"/>
  <c r="N11" i="7"/>
  <c r="N44" i="7" s="1"/>
  <c r="L11" i="7"/>
  <c r="J11" i="7"/>
  <c r="J44" i="7" s="1"/>
  <c r="H11" i="7"/>
  <c r="H44" i="7" s="1"/>
  <c r="H47" i="7" s="1"/>
  <c r="H56" i="7" s="1"/>
  <c r="H58" i="7" s="1"/>
  <c r="H60" i="7" s="1"/>
  <c r="H62" i="7" s="1"/>
  <c r="H64" i="7" s="1"/>
  <c r="F11" i="7"/>
  <c r="F44" i="7" s="1"/>
  <c r="AJ53" i="8" l="1"/>
  <c r="J47" i="7"/>
  <c r="J56" i="7" s="1"/>
  <c r="J58" i="7" s="1"/>
  <c r="J60" i="7" s="1"/>
  <c r="J62" i="7" s="1"/>
  <c r="J64" i="7" s="1"/>
  <c r="F47" i="7"/>
  <c r="F56" i="7" s="1"/>
  <c r="F58" i="7" s="1"/>
  <c r="F60" i="7" s="1"/>
  <c r="F62" i="7" s="1"/>
  <c r="F64" i="7" s="1"/>
  <c r="N47" i="7"/>
  <c r="N56" i="7" s="1"/>
  <c r="N58" i="7" s="1"/>
  <c r="N60" i="7" s="1"/>
  <c r="N62" i="7" s="1"/>
  <c r="N64" i="7" s="1"/>
  <c r="AB41" i="7"/>
  <c r="AJ41" i="7"/>
  <c r="L44" i="7"/>
  <c r="L47" i="7" s="1"/>
  <c r="L56" i="7" s="1"/>
  <c r="L58" i="7" s="1"/>
  <c r="L60" i="7" s="1"/>
  <c r="L62" i="7" s="1"/>
  <c r="L64" i="7" s="1"/>
  <c r="T44" i="7"/>
  <c r="T47" i="7" s="1"/>
  <c r="T56" i="7" s="1"/>
  <c r="T58" i="7" s="1"/>
  <c r="T60" i="7" s="1"/>
  <c r="T62" i="7" s="1"/>
  <c r="T64" i="7" s="1"/>
  <c r="V41" i="7"/>
  <c r="AD41" i="7"/>
  <c r="H14" i="7"/>
  <c r="P14" i="7"/>
  <c r="X41" i="7"/>
  <c r="AF41" i="7"/>
  <c r="J14" i="7"/>
  <c r="R41" i="7"/>
  <c r="Z41" i="7"/>
  <c r="AH41" i="7"/>
  <c r="DT35" i="5" l="1"/>
  <c r="DT25" i="5"/>
  <c r="DT13" i="5"/>
  <c r="DT27" i="5" l="1"/>
  <c r="DT37" i="5" s="1"/>
  <c r="DT39" i="5" s="1"/>
  <c r="DT41" i="5" s="1"/>
  <c r="DR35" i="5" l="1"/>
  <c r="DP35" i="5"/>
  <c r="DR25" i="5"/>
  <c r="DP25" i="5"/>
  <c r="DR13" i="5"/>
  <c r="DP13" i="5"/>
  <c r="DR27" i="5" l="1"/>
  <c r="DR37" i="5" s="1"/>
  <c r="DR39" i="5" s="1"/>
  <c r="DR41" i="5" s="1"/>
  <c r="DP27" i="5"/>
  <c r="DP37" i="5" s="1"/>
  <c r="DP39" i="5" s="1"/>
  <c r="DP41" i="5" s="1"/>
  <c r="DN35" i="5" l="1"/>
  <c r="DL35" i="5"/>
  <c r="DN25" i="5"/>
  <c r="DL25" i="5"/>
  <c r="DN13" i="5"/>
  <c r="DL13" i="5"/>
  <c r="DN27" i="5" l="1"/>
  <c r="DN37" i="5" s="1"/>
  <c r="DN39" i="5" s="1"/>
  <c r="DN41" i="5" s="1"/>
  <c r="DL27" i="5"/>
  <c r="DL37" i="5" s="1"/>
  <c r="DL39" i="5" s="1"/>
  <c r="DL41" i="5" s="1"/>
  <c r="DJ35" i="5" l="1"/>
  <c r="DH35" i="5"/>
  <c r="DJ25" i="5"/>
  <c r="DH25" i="5"/>
  <c r="DJ13" i="5"/>
  <c r="DH13" i="5"/>
  <c r="DJ27" i="5" l="1"/>
  <c r="DJ37" i="5" s="1"/>
  <c r="DJ39" i="5" s="1"/>
  <c r="DJ41" i="5" s="1"/>
  <c r="DH27" i="5"/>
  <c r="DH37" i="5" s="1"/>
  <c r="DH39" i="5" s="1"/>
  <c r="DH41" i="5" s="1"/>
  <c r="DD31" i="5" l="1"/>
  <c r="DB31" i="5"/>
  <c r="DD11" i="5"/>
  <c r="DB11" i="5"/>
  <c r="CZ31" i="5"/>
  <c r="CX31" i="5"/>
  <c r="CZ11" i="5"/>
  <c r="CX11" i="5"/>
  <c r="CT31" i="5"/>
  <c r="CT11" i="5"/>
  <c r="CV31" i="5"/>
  <c r="CV11" i="5"/>
  <c r="CR31" i="5"/>
  <c r="CR11" i="5"/>
  <c r="CP31" i="5"/>
  <c r="CP11" i="5"/>
  <c r="CL31" i="5"/>
  <c r="CL11" i="5"/>
  <c r="CH31" i="5"/>
  <c r="CH11" i="5"/>
  <c r="CD31" i="5"/>
  <c r="CD11" i="5"/>
  <c r="CB31" i="5"/>
  <c r="CB11" i="5"/>
  <c r="BX31" i="5"/>
  <c r="BX11" i="5"/>
  <c r="BT31" i="5"/>
  <c r="BT11" i="5"/>
  <c r="DF35" i="5" l="1"/>
  <c r="DF25" i="5"/>
  <c r="DF13" i="5"/>
  <c r="DF27" i="5" l="1"/>
  <c r="DF37" i="5" s="1"/>
  <c r="DF39" i="5" s="1"/>
  <c r="DF41" i="5" s="1"/>
  <c r="CN40" i="5"/>
  <c r="CJ40" i="5"/>
  <c r="CF40" i="5"/>
  <c r="BZ40" i="5"/>
  <c r="BV40" i="5"/>
  <c r="BR40" i="5"/>
  <c r="BL40" i="5"/>
  <c r="BH40" i="5"/>
  <c r="BD40" i="5"/>
  <c r="AX40" i="5"/>
  <c r="AT40" i="5"/>
  <c r="AP40" i="5"/>
  <c r="AJ40" i="5"/>
  <c r="AF40" i="5"/>
  <c r="AB40" i="5"/>
  <c r="V40" i="5"/>
  <c r="R40" i="5"/>
  <c r="N40" i="5"/>
  <c r="CN38" i="5"/>
  <c r="CJ38" i="5"/>
  <c r="CF38" i="5"/>
  <c r="BZ38" i="5"/>
  <c r="BV38" i="5"/>
  <c r="BR38" i="5"/>
  <c r="BL38" i="5"/>
  <c r="BH38" i="5"/>
  <c r="BD38" i="5"/>
  <c r="AX38" i="5"/>
  <c r="AT38" i="5"/>
  <c r="AP38" i="5"/>
  <c r="AJ38" i="5"/>
  <c r="AF38" i="5"/>
  <c r="AB38" i="5"/>
  <c r="V38" i="5"/>
  <c r="R38" i="5"/>
  <c r="N38" i="5"/>
  <c r="DD35" i="5"/>
  <c r="DB35" i="5"/>
  <c r="CZ35" i="5"/>
  <c r="CX35" i="5"/>
  <c r="CV35" i="5"/>
  <c r="CT35" i="5"/>
  <c r="CR35" i="5"/>
  <c r="CP35" i="5"/>
  <c r="CL35" i="5"/>
  <c r="CH35" i="5"/>
  <c r="CD35" i="5"/>
  <c r="CB35" i="5"/>
  <c r="BX35" i="5"/>
  <c r="BT35" i="5"/>
  <c r="BP35" i="5"/>
  <c r="BN35" i="5"/>
  <c r="BJ35" i="5"/>
  <c r="BF35" i="5"/>
  <c r="BB35" i="5"/>
  <c r="AZ35" i="5"/>
  <c r="AV35" i="5"/>
  <c r="AR35" i="5"/>
  <c r="AN35" i="5"/>
  <c r="AL35" i="5"/>
  <c r="AH35" i="5"/>
  <c r="AD35" i="5"/>
  <c r="Z35" i="5"/>
  <c r="X35" i="5"/>
  <c r="T35" i="5"/>
  <c r="P35" i="5"/>
  <c r="L35" i="5"/>
  <c r="J35" i="5"/>
  <c r="H35" i="5"/>
  <c r="F35" i="5"/>
  <c r="CN34" i="5"/>
  <c r="CJ34" i="5"/>
  <c r="CF34" i="5"/>
  <c r="BZ34" i="5"/>
  <c r="BV34" i="5"/>
  <c r="BR34" i="5"/>
  <c r="BL34" i="5"/>
  <c r="BH34" i="5"/>
  <c r="BD34" i="5"/>
  <c r="AX34" i="5"/>
  <c r="AT34" i="5"/>
  <c r="AP34" i="5"/>
  <c r="AJ34" i="5"/>
  <c r="AF34" i="5"/>
  <c r="AB34" i="5"/>
  <c r="V34" i="5"/>
  <c r="R34" i="5"/>
  <c r="N34" i="5"/>
  <c r="CN33" i="5"/>
  <c r="CJ33" i="5"/>
  <c r="CF33" i="5"/>
  <c r="BZ33" i="5"/>
  <c r="BV33" i="5"/>
  <c r="BR33" i="5"/>
  <c r="BL33" i="5"/>
  <c r="BH33" i="5"/>
  <c r="BD33" i="5"/>
  <c r="AX33" i="5"/>
  <c r="AT33" i="5"/>
  <c r="AP33" i="5"/>
  <c r="AJ33" i="5"/>
  <c r="AF33" i="5"/>
  <c r="AB33" i="5"/>
  <c r="V33" i="5"/>
  <c r="R33" i="5"/>
  <c r="N33" i="5"/>
  <c r="CN32" i="5"/>
  <c r="CJ32" i="5"/>
  <c r="CF32" i="5"/>
  <c r="BZ32" i="5"/>
  <c r="BV32" i="5"/>
  <c r="BR32" i="5"/>
  <c r="BL32" i="5"/>
  <c r="BH32" i="5"/>
  <c r="BD32" i="5"/>
  <c r="AX32" i="5"/>
  <c r="AT32" i="5"/>
  <c r="AP32" i="5"/>
  <c r="AJ32" i="5"/>
  <c r="AF32" i="5"/>
  <c r="AB32" i="5"/>
  <c r="V32" i="5"/>
  <c r="R32" i="5"/>
  <c r="N32" i="5"/>
  <c r="CN31" i="5"/>
  <c r="CJ31" i="5"/>
  <c r="CF31" i="5"/>
  <c r="BZ31" i="5"/>
  <c r="BV31" i="5"/>
  <c r="BR31" i="5"/>
  <c r="BL31" i="5"/>
  <c r="BH31" i="5"/>
  <c r="BH35" i="5" s="1"/>
  <c r="BD31" i="5"/>
  <c r="AX31" i="5"/>
  <c r="AT31" i="5"/>
  <c r="AP31" i="5"/>
  <c r="AP35" i="5" s="1"/>
  <c r="AJ31" i="5"/>
  <c r="AF31" i="5"/>
  <c r="AB31" i="5"/>
  <c r="V31" i="5"/>
  <c r="R31" i="5"/>
  <c r="N31" i="5"/>
  <c r="CN30" i="5"/>
  <c r="CJ30" i="5"/>
  <c r="CF30" i="5"/>
  <c r="BZ30" i="5"/>
  <c r="BV30" i="5"/>
  <c r="BV35" i="5" s="1"/>
  <c r="BR30" i="5"/>
  <c r="BL30" i="5"/>
  <c r="BL35" i="5" s="1"/>
  <c r="BH30" i="5"/>
  <c r="BD30" i="5"/>
  <c r="BD35" i="5" s="1"/>
  <c r="AX30" i="5"/>
  <c r="AX35" i="5" s="1"/>
  <c r="AT30" i="5"/>
  <c r="AT35" i="5" s="1"/>
  <c r="AP30" i="5"/>
  <c r="AJ30" i="5"/>
  <c r="AJ35" i="5" s="1"/>
  <c r="AF30" i="5"/>
  <c r="AF35" i="5" s="1"/>
  <c r="AB30" i="5"/>
  <c r="AB35" i="5" s="1"/>
  <c r="V30" i="5"/>
  <c r="V35" i="5" s="1"/>
  <c r="R30" i="5"/>
  <c r="R35" i="5" s="1"/>
  <c r="N30" i="5"/>
  <c r="N35" i="5" s="1"/>
  <c r="DD25" i="5"/>
  <c r="DB25" i="5"/>
  <c r="CZ25" i="5"/>
  <c r="CX25" i="5"/>
  <c r="CV25" i="5"/>
  <c r="CT25" i="5"/>
  <c r="CR25" i="5"/>
  <c r="CP25" i="5"/>
  <c r="CL25" i="5"/>
  <c r="CH25" i="5"/>
  <c r="CD25" i="5"/>
  <c r="CB25" i="5"/>
  <c r="BX25" i="5"/>
  <c r="BT25" i="5"/>
  <c r="BP25" i="5"/>
  <c r="BN25" i="5"/>
  <c r="BJ25" i="5"/>
  <c r="BF25" i="5"/>
  <c r="BB25" i="5"/>
  <c r="AZ25" i="5"/>
  <c r="AV25" i="5"/>
  <c r="AR25" i="5"/>
  <c r="AN25" i="5"/>
  <c r="AL25" i="5"/>
  <c r="AH25" i="5"/>
  <c r="AD25" i="5"/>
  <c r="Z25" i="5"/>
  <c r="X25" i="5"/>
  <c r="T25" i="5"/>
  <c r="P25" i="5"/>
  <c r="L25" i="5"/>
  <c r="J25" i="5"/>
  <c r="H25" i="5"/>
  <c r="F25" i="5"/>
  <c r="CN24" i="5"/>
  <c r="CJ24" i="5"/>
  <c r="CF24" i="5"/>
  <c r="BZ24" i="5"/>
  <c r="BV24" i="5"/>
  <c r="BR24" i="5"/>
  <c r="BL24" i="5"/>
  <c r="BH24" i="5"/>
  <c r="BD24" i="5"/>
  <c r="AX24" i="5"/>
  <c r="AT24" i="5"/>
  <c r="AP24" i="5"/>
  <c r="AJ24" i="5"/>
  <c r="AF24" i="5"/>
  <c r="AB24" i="5"/>
  <c r="V24" i="5"/>
  <c r="R24" i="5"/>
  <c r="N24" i="5"/>
  <c r="CN23" i="5"/>
  <c r="CJ23" i="5"/>
  <c r="CF23" i="5"/>
  <c r="BZ23" i="5"/>
  <c r="BV23" i="5"/>
  <c r="BR23" i="5"/>
  <c r="BL23" i="5"/>
  <c r="BH23" i="5"/>
  <c r="BD23" i="5"/>
  <c r="AX23" i="5"/>
  <c r="AT23" i="5"/>
  <c r="AP23" i="5"/>
  <c r="AJ23" i="5"/>
  <c r="AF23" i="5"/>
  <c r="AB23" i="5"/>
  <c r="V23" i="5"/>
  <c r="R23" i="5"/>
  <c r="N23" i="5"/>
  <c r="CN22" i="5"/>
  <c r="CJ22" i="5"/>
  <c r="CF22" i="5"/>
  <c r="BZ22" i="5"/>
  <c r="BV22" i="5"/>
  <c r="BR22" i="5"/>
  <c r="BL22" i="5"/>
  <c r="BH22" i="5"/>
  <c r="BD22" i="5"/>
  <c r="AX22" i="5"/>
  <c r="AT22" i="5"/>
  <c r="AP22" i="5"/>
  <c r="AJ22" i="5"/>
  <c r="AF22" i="5"/>
  <c r="AB22" i="5"/>
  <c r="V22" i="5"/>
  <c r="R22" i="5"/>
  <c r="N22" i="5"/>
  <c r="CN21" i="5"/>
  <c r="CJ21" i="5"/>
  <c r="CF21" i="5"/>
  <c r="BZ21" i="5"/>
  <c r="BV21" i="5"/>
  <c r="BR21" i="5"/>
  <c r="BL21" i="5"/>
  <c r="BH21" i="5"/>
  <c r="BD21" i="5"/>
  <c r="AX21" i="5"/>
  <c r="AT21" i="5"/>
  <c r="AP21" i="5"/>
  <c r="AJ21" i="5"/>
  <c r="AF21" i="5"/>
  <c r="AB21" i="5"/>
  <c r="V21" i="5"/>
  <c r="R21" i="5"/>
  <c r="N21" i="5"/>
  <c r="CN20" i="5"/>
  <c r="CJ20" i="5"/>
  <c r="CF20" i="5"/>
  <c r="BZ20" i="5"/>
  <c r="BV20" i="5"/>
  <c r="BR20" i="5"/>
  <c r="BL20" i="5"/>
  <c r="BH20" i="5"/>
  <c r="BD20" i="5"/>
  <c r="AX20" i="5"/>
  <c r="AT20" i="5"/>
  <c r="AP20" i="5"/>
  <c r="AJ20" i="5"/>
  <c r="AF20" i="5"/>
  <c r="AB20" i="5"/>
  <c r="V20" i="5"/>
  <c r="R20" i="5"/>
  <c r="N20" i="5"/>
  <c r="CN19" i="5"/>
  <c r="CJ19" i="5"/>
  <c r="CF19" i="5"/>
  <c r="BZ19" i="5"/>
  <c r="BV19" i="5"/>
  <c r="BR19" i="5"/>
  <c r="BL19" i="5"/>
  <c r="BH19" i="5"/>
  <c r="BD19" i="5"/>
  <c r="AX19" i="5"/>
  <c r="AT19" i="5"/>
  <c r="AP19" i="5"/>
  <c r="AJ19" i="5"/>
  <c r="AF19" i="5"/>
  <c r="AB19" i="5"/>
  <c r="V19" i="5"/>
  <c r="R19" i="5"/>
  <c r="N19" i="5"/>
  <c r="CN18" i="5"/>
  <c r="CJ18" i="5"/>
  <c r="CF18" i="5"/>
  <c r="BZ18" i="5"/>
  <c r="BZ25" i="5" s="1"/>
  <c r="BV18" i="5"/>
  <c r="BR18" i="5"/>
  <c r="BL18" i="5"/>
  <c r="BH18" i="5"/>
  <c r="BH25" i="5" s="1"/>
  <c r="BD18" i="5"/>
  <c r="AX18" i="5"/>
  <c r="AT18" i="5"/>
  <c r="AP18" i="5"/>
  <c r="AJ18" i="5"/>
  <c r="AF18" i="5"/>
  <c r="AB18" i="5"/>
  <c r="V18" i="5"/>
  <c r="V25" i="5" s="1"/>
  <c r="R18" i="5"/>
  <c r="N18" i="5"/>
  <c r="CN17" i="5"/>
  <c r="CN25" i="5" s="1"/>
  <c r="CJ17" i="5"/>
  <c r="CJ25" i="5" s="1"/>
  <c r="CF17" i="5"/>
  <c r="CF25" i="5" s="1"/>
  <c r="BZ17" i="5"/>
  <c r="BV17" i="5"/>
  <c r="BV25" i="5" s="1"/>
  <c r="BR17" i="5"/>
  <c r="BR25" i="5" s="1"/>
  <c r="BL17" i="5"/>
  <c r="BL25" i="5" s="1"/>
  <c r="BH17" i="5"/>
  <c r="BD17" i="5"/>
  <c r="BD25" i="5" s="1"/>
  <c r="AX17" i="5"/>
  <c r="AX25" i="5" s="1"/>
  <c r="AT17" i="5"/>
  <c r="AT25" i="5" s="1"/>
  <c r="AP17" i="5"/>
  <c r="AP25" i="5" s="1"/>
  <c r="AJ17" i="5"/>
  <c r="AJ25" i="5" s="1"/>
  <c r="AF17" i="5"/>
  <c r="AF25" i="5" s="1"/>
  <c r="AB17" i="5"/>
  <c r="AB25" i="5" s="1"/>
  <c r="V17" i="5"/>
  <c r="R17" i="5"/>
  <c r="R25" i="5" s="1"/>
  <c r="N17" i="5"/>
  <c r="N25" i="5" s="1"/>
  <c r="DD13" i="5"/>
  <c r="DD27" i="5" s="1"/>
  <c r="DD37" i="5" s="1"/>
  <c r="DD39" i="5" s="1"/>
  <c r="DD41" i="5" s="1"/>
  <c r="DB13" i="5"/>
  <c r="DB27" i="5" s="1"/>
  <c r="DB37" i="5" s="1"/>
  <c r="DB39" i="5" s="1"/>
  <c r="DB41" i="5" s="1"/>
  <c r="CZ13" i="5"/>
  <c r="CZ27" i="5" s="1"/>
  <c r="CX13" i="5"/>
  <c r="CX27" i="5" s="1"/>
  <c r="CX37" i="5" s="1"/>
  <c r="CX39" i="5" s="1"/>
  <c r="CX41" i="5" s="1"/>
  <c r="CV13" i="5"/>
  <c r="CV27" i="5" s="1"/>
  <c r="CV37" i="5" s="1"/>
  <c r="CV39" i="5" s="1"/>
  <c r="CV41" i="5" s="1"/>
  <c r="CT13" i="5"/>
  <c r="CT27" i="5" s="1"/>
  <c r="CR13" i="5"/>
  <c r="CR27" i="5" s="1"/>
  <c r="CP13" i="5"/>
  <c r="CP27" i="5" s="1"/>
  <c r="CP37" i="5" s="1"/>
  <c r="CP39" i="5" s="1"/>
  <c r="CP41" i="5" s="1"/>
  <c r="CL13" i="5"/>
  <c r="CL27" i="5" s="1"/>
  <c r="CL37" i="5" s="1"/>
  <c r="CL39" i="5" s="1"/>
  <c r="CL41" i="5" s="1"/>
  <c r="CH13" i="5"/>
  <c r="CH27" i="5" s="1"/>
  <c r="CH37" i="5" s="1"/>
  <c r="CH39" i="5" s="1"/>
  <c r="CH41" i="5" s="1"/>
  <c r="CD13" i="5"/>
  <c r="CD27" i="5" s="1"/>
  <c r="CB13" i="5"/>
  <c r="CB27" i="5" s="1"/>
  <c r="CB37" i="5" s="1"/>
  <c r="CB39" i="5" s="1"/>
  <c r="CB41" i="5" s="1"/>
  <c r="BX13" i="5"/>
  <c r="BX27" i="5" s="1"/>
  <c r="BX37" i="5" s="1"/>
  <c r="BX39" i="5" s="1"/>
  <c r="BX41" i="5" s="1"/>
  <c r="BT13" i="5"/>
  <c r="BT27" i="5" s="1"/>
  <c r="BT37" i="5" s="1"/>
  <c r="BT39" i="5" s="1"/>
  <c r="BT41" i="5" s="1"/>
  <c r="BP13" i="5"/>
  <c r="BP27" i="5" s="1"/>
  <c r="BP37" i="5" s="1"/>
  <c r="BP39" i="5" s="1"/>
  <c r="BP41" i="5" s="1"/>
  <c r="BN13" i="5"/>
  <c r="BN27" i="5" s="1"/>
  <c r="BN37" i="5" s="1"/>
  <c r="BN39" i="5" s="1"/>
  <c r="BN41" i="5" s="1"/>
  <c r="BJ13" i="5"/>
  <c r="BJ27" i="5" s="1"/>
  <c r="BJ37" i="5" s="1"/>
  <c r="BJ39" i="5" s="1"/>
  <c r="BJ41" i="5" s="1"/>
  <c r="BF13" i="5"/>
  <c r="BF27" i="5" s="1"/>
  <c r="BF37" i="5" s="1"/>
  <c r="BF39" i="5" s="1"/>
  <c r="BF41" i="5" s="1"/>
  <c r="BB13" i="5"/>
  <c r="BB27" i="5" s="1"/>
  <c r="BB37" i="5" s="1"/>
  <c r="BB39" i="5" s="1"/>
  <c r="BB41" i="5" s="1"/>
  <c r="AZ13" i="5"/>
  <c r="AZ27" i="5" s="1"/>
  <c r="AZ37" i="5" s="1"/>
  <c r="AZ39" i="5" s="1"/>
  <c r="AZ41" i="5" s="1"/>
  <c r="AV13" i="5"/>
  <c r="AV27" i="5" s="1"/>
  <c r="AV37" i="5" s="1"/>
  <c r="AV39" i="5" s="1"/>
  <c r="AV41" i="5" s="1"/>
  <c r="AR13" i="5"/>
  <c r="AR27" i="5" s="1"/>
  <c r="AR37" i="5" s="1"/>
  <c r="AR39" i="5" s="1"/>
  <c r="AR41" i="5" s="1"/>
  <c r="AN13" i="5"/>
  <c r="AN27" i="5" s="1"/>
  <c r="AN37" i="5" s="1"/>
  <c r="AN39" i="5" s="1"/>
  <c r="AN41" i="5" s="1"/>
  <c r="AL13" i="5"/>
  <c r="AL27" i="5" s="1"/>
  <c r="AL37" i="5" s="1"/>
  <c r="AL39" i="5" s="1"/>
  <c r="AL41" i="5" s="1"/>
  <c r="AH13" i="5"/>
  <c r="AH27" i="5" s="1"/>
  <c r="AH37" i="5" s="1"/>
  <c r="AH39" i="5" s="1"/>
  <c r="AH41" i="5" s="1"/>
  <c r="AD13" i="5"/>
  <c r="AD27" i="5" s="1"/>
  <c r="AD37" i="5" s="1"/>
  <c r="AD39" i="5" s="1"/>
  <c r="AD41" i="5" s="1"/>
  <c r="Z13" i="5"/>
  <c r="Z27" i="5" s="1"/>
  <c r="Z37" i="5" s="1"/>
  <c r="Z39" i="5" s="1"/>
  <c r="Z41" i="5" s="1"/>
  <c r="X13" i="5"/>
  <c r="X27" i="5" s="1"/>
  <c r="X37" i="5" s="1"/>
  <c r="X39" i="5" s="1"/>
  <c r="X41" i="5" s="1"/>
  <c r="T13" i="5"/>
  <c r="T27" i="5" s="1"/>
  <c r="T37" i="5" s="1"/>
  <c r="T39" i="5" s="1"/>
  <c r="T41" i="5" s="1"/>
  <c r="P13" i="5"/>
  <c r="P27" i="5" s="1"/>
  <c r="P37" i="5" s="1"/>
  <c r="P39" i="5" s="1"/>
  <c r="P41" i="5" s="1"/>
  <c r="L13" i="5"/>
  <c r="L27" i="5" s="1"/>
  <c r="L37" i="5" s="1"/>
  <c r="L39" i="5" s="1"/>
  <c r="L41" i="5" s="1"/>
  <c r="J13" i="5"/>
  <c r="J27" i="5" s="1"/>
  <c r="J37" i="5" s="1"/>
  <c r="J39" i="5" s="1"/>
  <c r="J41" i="5" s="1"/>
  <c r="H13" i="5"/>
  <c r="H27" i="5" s="1"/>
  <c r="H37" i="5" s="1"/>
  <c r="H39" i="5" s="1"/>
  <c r="H41" i="5" s="1"/>
  <c r="F13" i="5"/>
  <c r="F27" i="5" s="1"/>
  <c r="F37" i="5" s="1"/>
  <c r="F39" i="5" s="1"/>
  <c r="F41" i="5" s="1"/>
  <c r="CN12" i="5"/>
  <c r="CJ12" i="5"/>
  <c r="CF12" i="5"/>
  <c r="BZ12" i="5"/>
  <c r="BV12" i="5"/>
  <c r="BR12" i="5"/>
  <c r="BL12" i="5"/>
  <c r="BH12" i="5"/>
  <c r="BH13" i="5" s="1"/>
  <c r="BD12" i="5"/>
  <c r="AX12" i="5"/>
  <c r="AT12" i="5"/>
  <c r="AP12" i="5"/>
  <c r="AJ12" i="5"/>
  <c r="AJ13" i="5" s="1"/>
  <c r="AJ27" i="5" s="1"/>
  <c r="AJ37" i="5" s="1"/>
  <c r="AJ39" i="5" s="1"/>
  <c r="AJ41" i="5" s="1"/>
  <c r="AF12" i="5"/>
  <c r="AB12" i="5"/>
  <c r="V12" i="5"/>
  <c r="V13" i="5" s="1"/>
  <c r="R12" i="5"/>
  <c r="N12" i="5"/>
  <c r="CN11" i="5"/>
  <c r="CJ11" i="5"/>
  <c r="CJ13" i="5" s="1"/>
  <c r="CF11" i="5"/>
  <c r="CF13" i="5" s="1"/>
  <c r="CF27" i="5" s="1"/>
  <c r="BZ11" i="5"/>
  <c r="BV11" i="5"/>
  <c r="BV13" i="5" s="1"/>
  <c r="BV27" i="5" s="1"/>
  <c r="BV37" i="5" s="1"/>
  <c r="BV39" i="5" s="1"/>
  <c r="BV41" i="5" s="1"/>
  <c r="BR11" i="5"/>
  <c r="BR13" i="5" s="1"/>
  <c r="BL11" i="5"/>
  <c r="BL13" i="5" s="1"/>
  <c r="BL27" i="5" s="1"/>
  <c r="BL37" i="5" s="1"/>
  <c r="BL39" i="5" s="1"/>
  <c r="BL41" i="5" s="1"/>
  <c r="BH11" i="5"/>
  <c r="BD11" i="5"/>
  <c r="BD13" i="5" s="1"/>
  <c r="BD27" i="5" s="1"/>
  <c r="BD37" i="5" s="1"/>
  <c r="BD39" i="5" s="1"/>
  <c r="BD41" i="5" s="1"/>
  <c r="AX11" i="5"/>
  <c r="AX13" i="5" s="1"/>
  <c r="AT11" i="5"/>
  <c r="AT13" i="5" s="1"/>
  <c r="AT27" i="5" s="1"/>
  <c r="AT37" i="5" s="1"/>
  <c r="AT39" i="5" s="1"/>
  <c r="AT41" i="5" s="1"/>
  <c r="AP11" i="5"/>
  <c r="AP13" i="5" s="1"/>
  <c r="AP27" i="5" s="1"/>
  <c r="AP37" i="5" s="1"/>
  <c r="AP39" i="5" s="1"/>
  <c r="AP41" i="5" s="1"/>
  <c r="AJ11" i="5"/>
  <c r="AF11" i="5"/>
  <c r="AF13" i="5" s="1"/>
  <c r="AB11" i="5"/>
  <c r="AB13" i="5" s="1"/>
  <c r="AB27" i="5" s="1"/>
  <c r="AB37" i="5" s="1"/>
  <c r="AB39" i="5" s="1"/>
  <c r="AB41" i="5" s="1"/>
  <c r="V11" i="5"/>
  <c r="R11" i="5"/>
  <c r="R13" i="5" s="1"/>
  <c r="R27" i="5" s="1"/>
  <c r="R37" i="5" s="1"/>
  <c r="R39" i="5" s="1"/>
  <c r="R41" i="5" s="1"/>
  <c r="N11" i="5"/>
  <c r="N13" i="5" s="1"/>
  <c r="CZ37" i="5" l="1"/>
  <c r="CZ39" i="5" s="1"/>
  <c r="CZ41" i="5" s="1"/>
  <c r="CT37" i="5"/>
  <c r="CT39" i="5" s="1"/>
  <c r="CT41" i="5" s="1"/>
  <c r="CR37" i="5"/>
  <c r="CR39" i="5" s="1"/>
  <c r="CR41" i="5" s="1"/>
  <c r="CN35" i="5"/>
  <c r="CN13" i="5"/>
  <c r="CN27" i="5" s="1"/>
  <c r="CJ35" i="5"/>
  <c r="CF37" i="5"/>
  <c r="CF39" i="5" s="1"/>
  <c r="CF41" i="5" s="1"/>
  <c r="CD37" i="5"/>
  <c r="CD39" i="5" s="1"/>
  <c r="CD41" i="5" s="1"/>
  <c r="CF35" i="5"/>
  <c r="BZ13" i="5"/>
  <c r="BZ27" i="5" s="1"/>
  <c r="BZ35" i="5"/>
  <c r="BR35" i="5"/>
  <c r="N27" i="5"/>
  <c r="N37" i="5" s="1"/>
  <c r="N39" i="5" s="1"/>
  <c r="N41" i="5" s="1"/>
  <c r="AF27" i="5"/>
  <c r="AF37" i="5" s="1"/>
  <c r="AF39" i="5" s="1"/>
  <c r="AF41" i="5" s="1"/>
  <c r="AX27" i="5"/>
  <c r="AX37" i="5" s="1"/>
  <c r="AX39" i="5" s="1"/>
  <c r="AX41" i="5" s="1"/>
  <c r="BR27" i="5"/>
  <c r="BR37" i="5" s="1"/>
  <c r="BR39" i="5" s="1"/>
  <c r="BR41" i="5" s="1"/>
  <c r="CJ27" i="5"/>
  <c r="V27" i="5"/>
  <c r="V37" i="5" s="1"/>
  <c r="V39" i="5" s="1"/>
  <c r="V41" i="5" s="1"/>
  <c r="BH27" i="5"/>
  <c r="BH37" i="5" s="1"/>
  <c r="BH39" i="5" s="1"/>
  <c r="BH41" i="5" s="1"/>
  <c r="CN37" i="5" l="1"/>
  <c r="CN39" i="5" s="1"/>
  <c r="CN41" i="5" s="1"/>
  <c r="CJ37" i="5"/>
  <c r="CJ39" i="5" s="1"/>
  <c r="CJ41" i="5" s="1"/>
  <c r="BZ37" i="5"/>
  <c r="BZ39" i="5" s="1"/>
  <c r="BZ41" i="5" s="1"/>
</calcChain>
</file>

<file path=xl/sharedStrings.xml><?xml version="1.0" encoding="utf-8"?>
<sst xmlns="http://schemas.openxmlformats.org/spreadsheetml/2006/main" count="477" uniqueCount="109">
  <si>
    <t>CONSOLIDATED STATEMENT OF OPERATIONS HIGHLIGHTS</t>
  </si>
  <si>
    <t>(Unaudited, dollars and shares in thousands, except per share amounts)</t>
  </si>
  <si>
    <t>Year Ended 2007</t>
  </si>
  <si>
    <t>Year Ended 2008</t>
  </si>
  <si>
    <t>Year Ended 2009</t>
  </si>
  <si>
    <t>Three Months</t>
  </si>
  <si>
    <t>Six Months</t>
  </si>
  <si>
    <t>Nine Months</t>
  </si>
  <si>
    <t>Year Ended 2010</t>
  </si>
  <si>
    <t>Year Ended 2011</t>
  </si>
  <si>
    <t>Year Ended 2012</t>
  </si>
  <si>
    <t>Year Ended 2013</t>
  </si>
  <si>
    <t>Year Ended 2014</t>
  </si>
  <si>
    <t>Year Ended 2015</t>
  </si>
  <si>
    <t>Year Ended 2016</t>
  </si>
  <si>
    <t>Ended</t>
  </si>
  <si>
    <t>March 31,</t>
  </si>
  <si>
    <t>June 30,</t>
  </si>
  <si>
    <t>Sept. 30,</t>
  </si>
  <si>
    <t>Dec.31,</t>
  </si>
  <si>
    <t>Dec. 31,</t>
  </si>
  <si>
    <t>Sept. 30</t>
  </si>
  <si>
    <t>Dec. 31</t>
  </si>
  <si>
    <t>Operating Revenues</t>
  </si>
  <si>
    <t>U.S Cellular</t>
  </si>
  <si>
    <t>TDS Telecom</t>
  </si>
  <si>
    <t>All Other (1)</t>
  </si>
  <si>
    <t>Total operating revenues</t>
  </si>
  <si>
    <t>Operating Expenses</t>
  </si>
  <si>
    <t>U.S. Cellular</t>
  </si>
  <si>
    <t>Expenses excluding depreciation, amortization and accretion</t>
  </si>
  <si>
    <t>Depreciation, amortization and accretion</t>
  </si>
  <si>
    <t>Loss on impairment of assets</t>
  </si>
  <si>
    <t>(Gain) loss on asset disposals, net</t>
  </si>
  <si>
    <t>(Gain) loss on sale of business and other exit costs, net</t>
  </si>
  <si>
    <t>(Gain) loss on license sales and exchanges</t>
  </si>
  <si>
    <t>Expenses excluding depreciation and amortization</t>
  </si>
  <si>
    <t>Depreciation and amortization</t>
  </si>
  <si>
    <t>(Gain) loss on asset disposals and exchanges, net</t>
  </si>
  <si>
    <t>Total operating expenses</t>
  </si>
  <si>
    <t>Operating Income(Loss)</t>
  </si>
  <si>
    <t>Investment and Other Income(Expense)</t>
  </si>
  <si>
    <t>Equity in earnings of unconsolidated entities</t>
  </si>
  <si>
    <t>Interest and dividend income</t>
  </si>
  <si>
    <t>Gain (loss) on sale of investments</t>
  </si>
  <si>
    <t>Interest expense</t>
  </si>
  <si>
    <t>Other, net</t>
  </si>
  <si>
    <t>Total investment and other income (expense)</t>
  </si>
  <si>
    <t>Income before Income Taxes</t>
  </si>
  <si>
    <t>Income tax expense</t>
  </si>
  <si>
    <t>Income (loss) before extraordinary item</t>
  </si>
  <si>
    <t>Extraordinary item, net of taxes</t>
  </si>
  <si>
    <t>Net income (loss)</t>
  </si>
  <si>
    <t>Less: Net income (loss) attributable to noncontrolling interests, net of tax</t>
  </si>
  <si>
    <t>Net income (loss) attributable to TDS shareholders</t>
  </si>
  <si>
    <t>Preferred dividend requirement</t>
  </si>
  <si>
    <t>Net income (loss) available to common shareholders</t>
  </si>
  <si>
    <t>Basic weighted average shares outstanding</t>
  </si>
  <si>
    <t>Basic earnings (loss) per share attributable to TDS shareholders</t>
  </si>
  <si>
    <t>Net income before extraordinary item attributable to</t>
  </si>
  <si>
    <t>TDS shareholders</t>
  </si>
  <si>
    <t>Extraordinary item</t>
  </si>
  <si>
    <t>Net income available to common shareholders</t>
  </si>
  <si>
    <t>Diluted weighted average shares outstanding</t>
  </si>
  <si>
    <t>Diluted earnings (loss) per share attributable to TDS shareholders</t>
  </si>
  <si>
    <t>Net Income before extraordinary item attributable to</t>
  </si>
  <si>
    <t>represents TDS' Non-Reportable Segment, corporate operations and</t>
  </si>
  <si>
    <t>intercompany eliminations between U.S. Cellular, TDS Telecom and</t>
  </si>
  <si>
    <t>corporate investments.</t>
  </si>
  <si>
    <t>Service</t>
  </si>
  <si>
    <t>Equipment sales</t>
  </si>
  <si>
    <t xml:space="preserve"> Total operating revenues</t>
  </si>
  <si>
    <t>System operations (excluding Depreciation,</t>
  </si>
  <si>
    <t>amortization and accretion reported below)</t>
  </si>
  <si>
    <t>Cost of equipment sold</t>
  </si>
  <si>
    <t>Selling, general and administrative</t>
  </si>
  <si>
    <t>(Gain) loss on sale on license sales and exchanges</t>
  </si>
  <si>
    <t>Operating Income/(Loss)</t>
  </si>
  <si>
    <t>Investment and Other Income (Expense)</t>
  </si>
  <si>
    <t>Gain (loss) on investments</t>
  </si>
  <si>
    <t>Income (loss) before Income Taxes</t>
  </si>
  <si>
    <t>Net Income (loss) Attributable to U.S. Cellular Shareholders</t>
  </si>
  <si>
    <t>Basic Weighted Average Shares Outstanding</t>
  </si>
  <si>
    <t>Basic Earnings (loss) Per Share Attributable to</t>
  </si>
  <si>
    <t>U.S. Cellular Shareholders</t>
  </si>
  <si>
    <t>Diluted Weighted Average Shares Outstanding</t>
  </si>
  <si>
    <t>Diluted Earnings (loss) Per Share Attributable to</t>
  </si>
  <si>
    <t>Wireline</t>
  </si>
  <si>
    <t>Residential</t>
  </si>
  <si>
    <t>Commercial</t>
  </si>
  <si>
    <t>Wholesale</t>
  </si>
  <si>
    <t xml:space="preserve">       Total Service Revenues</t>
  </si>
  <si>
    <t>Equipment Sales</t>
  </si>
  <si>
    <t xml:space="preserve">       Total operating revenues</t>
  </si>
  <si>
    <t>Cost of services and products</t>
  </si>
  <si>
    <t>Selling, general and administratvie expenses</t>
  </si>
  <si>
    <t xml:space="preserve">      Total operating expenses</t>
  </si>
  <si>
    <t>Operating Income</t>
  </si>
  <si>
    <t>Cable</t>
  </si>
  <si>
    <t>Cost of services</t>
  </si>
  <si>
    <t>Loss on asset disposals</t>
  </si>
  <si>
    <t>Operating Income (Loss)</t>
  </si>
  <si>
    <t>Intercompany Revenues</t>
  </si>
  <si>
    <t>Intercompany Expenses</t>
  </si>
  <si>
    <t>Total TDS Telecom Operating Income</t>
  </si>
  <si>
    <t>TDS, Inc.</t>
  </si>
  <si>
    <t>Year Ended 2017</t>
  </si>
  <si>
    <t>Year Ended 2018</t>
  </si>
  <si>
    <t>(1) Consists of OneNeck IT Solutions, Suttle-Straus and Airadigm, which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</si>
</sst>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_)"/>
    <numFmt numFmtId="166" formatCode="_(&quot;$&quot;* #,##0_);_(&quot;$&quot;* \(#,##0\);_(&quot;$&quot;* &quot;-&quot;??_);_(@_)"/>
    <numFmt numFmtId="167" formatCode="_(&quot;$&quot;* #,##0.00_);_(&quot;$&quot;* \(#,##0.00\);_(&quot;$&quot;* &quot;---&quot;??_);_(@_)"/>
    <numFmt numFmtId="168" formatCode="_(* #,##0_);_(* \(#,##0\);_(* &quot;--- &quot;_);_(@_)"/>
    <numFmt numFmtId="169" formatCode="_(&quot;$&quot;* #,##0.00_);_(&quot;$&quot;* \(#,##0.00\);_(&quot;$&quot;* &quot;---&quot;_);_(@_)"/>
  </numFmts>
  <fonts count="14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rgb="FF0000FF"/>
      <name val="Verdana"/>
      <family val="2"/>
    </font>
    <font>
      <b/>
      <sz val="10"/>
      <name val="Verdana"/>
      <family val="2"/>
    </font>
    <font>
      <sz val="10"/>
      <color indexed="48"/>
      <name val="Verdana"/>
      <family val="2"/>
    </font>
    <font>
      <sz val="10"/>
      <color indexed="10"/>
      <name val="Verdana"/>
      <family val="2"/>
    </font>
    <font>
      <sz val="10"/>
      <color rgb="FF0000FF"/>
      <name val="Verdana"/>
      <family val="2"/>
    </font>
    <font>
      <sz val="10"/>
      <color indexed="8"/>
      <name val="Arial MT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11" fillId="0" borderId="0"/>
    <xf numFmtId="37" fontId="11" fillId="0" borderId="0"/>
  </cellStyleXfs>
  <cellXfs count="285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37" fontId="6" fillId="0" borderId="0" xfId="2" applyNumberFormat="1" applyFont="1" applyFill="1" applyBorder="1" applyAlignment="1"/>
    <xf numFmtId="37" fontId="7" fillId="0" borderId="0" xfId="2" applyNumberFormat="1" applyFont="1" applyFill="1" applyBorder="1" applyAlignment="1"/>
    <xf numFmtId="164" fontId="7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Fill="1" applyBorder="1"/>
    <xf numFmtId="0" fontId="3" fillId="0" borderId="7" xfId="0" applyFont="1" applyFill="1" applyBorder="1"/>
    <xf numFmtId="164" fontId="3" fillId="0" borderId="6" xfId="1" applyNumberFormat="1" applyFont="1" applyFill="1" applyBorder="1"/>
    <xf numFmtId="166" fontId="5" fillId="0" borderId="0" xfId="3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right"/>
    </xf>
    <xf numFmtId="166" fontId="3" fillId="0" borderId="3" xfId="3" applyNumberFormat="1" applyFont="1" applyFill="1" applyBorder="1"/>
    <xf numFmtId="166" fontId="3" fillId="0" borderId="0" xfId="3" applyNumberFormat="1" applyFont="1" applyFill="1" applyBorder="1"/>
    <xf numFmtId="166" fontId="3" fillId="0" borderId="6" xfId="3" applyNumberFormat="1" applyFont="1" applyFill="1" applyBorder="1"/>
    <xf numFmtId="166" fontId="3" fillId="0" borderId="7" xfId="3" applyNumberFormat="1" applyFont="1" applyFill="1" applyBorder="1"/>
    <xf numFmtId="164" fontId="5" fillId="0" borderId="3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4" fontId="3" fillId="0" borderId="0" xfId="4" applyNumberFormat="1" applyFont="1" applyFill="1" applyBorder="1"/>
    <xf numFmtId="164" fontId="3" fillId="0" borderId="6" xfId="4" applyNumberFormat="1" applyFont="1" applyFill="1" applyBorder="1"/>
    <xf numFmtId="164" fontId="3" fillId="0" borderId="3" xfId="1" applyNumberFormat="1" applyFont="1" applyFill="1" applyBorder="1"/>
    <xf numFmtId="164" fontId="3" fillId="0" borderId="7" xfId="1" applyNumberFormat="1" applyFont="1" applyFill="1" applyBorder="1"/>
    <xf numFmtId="166" fontId="2" fillId="0" borderId="0" xfId="3" applyNumberFormat="1" applyFont="1" applyFill="1" applyBorder="1"/>
    <xf numFmtId="166" fontId="2" fillId="0" borderId="0" xfId="3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/>
    <xf numFmtId="164" fontId="5" fillId="0" borderId="8" xfId="4" applyNumberFormat="1" applyFont="1" applyFill="1" applyBorder="1" applyAlignment="1">
      <alignment horizontal="right"/>
    </xf>
    <xf numFmtId="164" fontId="3" fillId="0" borderId="0" xfId="4" applyNumberFormat="1" applyFont="1" applyFill="1" applyBorder="1" applyAlignment="1">
      <alignment horizontal="right"/>
    </xf>
    <xf numFmtId="164" fontId="5" fillId="0" borderId="9" xfId="4" applyNumberFormat="1" applyFont="1" applyFill="1" applyBorder="1" applyAlignment="1">
      <alignment horizontal="right"/>
    </xf>
    <xf numFmtId="164" fontId="5" fillId="0" borderId="10" xfId="4" applyNumberFormat="1" applyFont="1" applyFill="1" applyBorder="1" applyAlignment="1">
      <alignment horizontal="right"/>
    </xf>
    <xf numFmtId="166" fontId="7" fillId="0" borderId="0" xfId="3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" fontId="5" fillId="0" borderId="0" xfId="0" applyNumberFormat="1" applyFont="1" applyFill="1" applyBorder="1" applyAlignment="1"/>
    <xf numFmtId="1" fontId="5" fillId="0" borderId="0" xfId="0" quotePrefix="1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164" fontId="3" fillId="0" borderId="11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6" fontId="9" fillId="0" borderId="0" xfId="3" quotePrefix="1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center"/>
    </xf>
    <xf numFmtId="164" fontId="5" fillId="0" borderId="6" xfId="4" applyNumberFormat="1" applyFont="1" applyFill="1" applyBorder="1" applyAlignment="1">
      <alignment horizontal="right"/>
    </xf>
    <xf numFmtId="164" fontId="5" fillId="0" borderId="7" xfId="4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12" xfId="4" applyNumberFormat="1" applyFont="1" applyFill="1" applyBorder="1"/>
    <xf numFmtId="164" fontId="3" fillId="0" borderId="4" xfId="1" applyNumberFormat="1" applyFont="1" applyFill="1" applyBorder="1"/>
    <xf numFmtId="1" fontId="2" fillId="0" borderId="0" xfId="0" applyNumberFormat="1" applyFont="1" applyFill="1" applyBorder="1" applyAlignment="1"/>
    <xf numFmtId="164" fontId="3" fillId="0" borderId="4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left"/>
    </xf>
    <xf numFmtId="166" fontId="5" fillId="0" borderId="13" xfId="3" applyNumberFormat="1" applyFont="1" applyFill="1" applyBorder="1" applyAlignment="1">
      <alignment horizontal="right"/>
    </xf>
    <xf numFmtId="166" fontId="5" fillId="0" borderId="14" xfId="3" applyNumberFormat="1" applyFont="1" applyFill="1" applyBorder="1" applyAlignment="1">
      <alignment horizontal="right"/>
    </xf>
    <xf numFmtId="166" fontId="5" fillId="0" borderId="15" xfId="3" applyNumberFormat="1" applyFont="1" applyFill="1" applyBorder="1" applyAlignment="1">
      <alignment horizontal="right"/>
    </xf>
    <xf numFmtId="167" fontId="5" fillId="0" borderId="3" xfId="3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/>
    </xf>
    <xf numFmtId="44" fontId="3" fillId="0" borderId="3" xfId="3" applyFont="1" applyFill="1" applyBorder="1"/>
    <xf numFmtId="44" fontId="3" fillId="0" borderId="0" xfId="3" applyFont="1" applyFill="1" applyBorder="1"/>
    <xf numFmtId="44" fontId="3" fillId="0" borderId="6" xfId="3" applyFont="1" applyFill="1" applyBorder="1"/>
    <xf numFmtId="44" fontId="3" fillId="0" borderId="7" xfId="3" applyFont="1" applyFill="1" applyBorder="1"/>
    <xf numFmtId="44" fontId="3" fillId="0" borderId="7" xfId="3" applyNumberFormat="1" applyFont="1" applyFill="1" applyBorder="1"/>
    <xf numFmtId="44" fontId="3" fillId="0" borderId="0" xfId="3" applyNumberFormat="1" applyFont="1" applyFill="1" applyBorder="1"/>
    <xf numFmtId="167" fontId="3" fillId="0" borderId="0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right"/>
    </xf>
    <xf numFmtId="168" fontId="3" fillId="0" borderId="4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167" fontId="5" fillId="0" borderId="7" xfId="3" applyNumberFormat="1" applyFont="1" applyFill="1" applyBorder="1" applyAlignment="1">
      <alignment horizontal="right"/>
    </xf>
    <xf numFmtId="44" fontId="3" fillId="0" borderId="3" xfId="3" applyNumberFormat="1" applyFont="1" applyFill="1" applyBorder="1"/>
    <xf numFmtId="44" fontId="3" fillId="0" borderId="3" xfId="3" applyFont="1" applyFill="1" applyBorder="1" applyAlignment="1">
      <alignment horizontal="center"/>
    </xf>
    <xf numFmtId="44" fontId="3" fillId="0" borderId="7" xfId="3" applyFont="1" applyFill="1" applyBorder="1" applyAlignment="1">
      <alignment horizontal="center"/>
    </xf>
    <xf numFmtId="44" fontId="3" fillId="0" borderId="0" xfId="3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1" xfId="0" applyFont="1" applyFill="1" applyBorder="1"/>
    <xf numFmtId="0" fontId="3" fillId="0" borderId="4" xfId="0" applyFont="1" applyFill="1" applyBorder="1"/>
    <xf numFmtId="164" fontId="3" fillId="0" borderId="12" xfId="1" applyNumberFormat="1" applyFont="1" applyFill="1" applyBorder="1"/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2" fillId="0" borderId="0" xfId="2" applyFont="1" applyFill="1" applyBorder="1" applyAlignment="1"/>
    <xf numFmtId="0" fontId="5" fillId="0" borderId="0" xfId="2" applyFont="1" applyFill="1" applyBorder="1" applyAlignment="1"/>
    <xf numFmtId="0" fontId="3" fillId="0" borderId="0" xfId="2" applyFont="1" applyFill="1" applyBorder="1"/>
    <xf numFmtId="0" fontId="10" fillId="0" borderId="0" xfId="0" applyFont="1" applyFill="1" applyBorder="1" applyAlignment="1"/>
    <xf numFmtId="0" fontId="2" fillId="0" borderId="0" xfId="2" applyFont="1" applyFill="1" applyBorder="1" applyAlignment="1">
      <alignment horizontal="centerContinuous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7" fillId="0" borderId="6" xfId="2" applyFont="1" applyFill="1" applyBorder="1"/>
    <xf numFmtId="165" fontId="2" fillId="0" borderId="0" xfId="2" applyNumberFormat="1" applyFont="1" applyFill="1" applyBorder="1"/>
    <xf numFmtId="0" fontId="2" fillId="0" borderId="0" xfId="2" applyFont="1" applyFill="1" applyBorder="1"/>
    <xf numFmtId="1" fontId="5" fillId="0" borderId="0" xfId="2" applyNumberFormat="1" applyFont="1" applyFill="1" applyBorder="1" applyAlignment="1">
      <alignment horizontal="center"/>
    </xf>
    <xf numFmtId="164" fontId="5" fillId="0" borderId="3" xfId="5" applyNumberFormat="1" applyFont="1" applyFill="1" applyBorder="1"/>
    <xf numFmtId="164" fontId="5" fillId="0" borderId="0" xfId="5" applyNumberFormat="1" applyFont="1" applyFill="1" applyBorder="1"/>
    <xf numFmtId="164" fontId="3" fillId="0" borderId="3" xfId="5" applyNumberFormat="1" applyFont="1" applyFill="1" applyBorder="1"/>
    <xf numFmtId="164" fontId="3" fillId="0" borderId="0" xfId="5" applyNumberFormat="1" applyFont="1" applyFill="1" applyBorder="1"/>
    <xf numFmtId="164" fontId="3" fillId="0" borderId="6" xfId="5" applyNumberFormat="1" applyFont="1" applyFill="1" applyBorder="1"/>
    <xf numFmtId="164" fontId="3" fillId="0" borderId="7" xfId="5" applyNumberFormat="1" applyFont="1" applyFill="1" applyBorder="1"/>
    <xf numFmtId="0" fontId="3" fillId="0" borderId="6" xfId="2" applyFont="1" applyFill="1" applyBorder="1"/>
    <xf numFmtId="166" fontId="5" fillId="0" borderId="0" xfId="6" applyNumberFormat="1" applyFont="1" applyFill="1" applyBorder="1"/>
    <xf numFmtId="1" fontId="5" fillId="0" borderId="0" xfId="2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left"/>
    </xf>
    <xf numFmtId="166" fontId="5" fillId="0" borderId="3" xfId="6" applyNumberFormat="1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166" fontId="5" fillId="0" borderId="3" xfId="6" applyNumberFormat="1" applyFont="1" applyFill="1" applyBorder="1" applyAlignment="1"/>
    <xf numFmtId="166" fontId="5" fillId="0" borderId="0" xfId="6" applyNumberFormat="1" applyFont="1" applyFill="1" applyBorder="1" applyAlignment="1"/>
    <xf numFmtId="166" fontId="3" fillId="0" borderId="6" xfId="6" applyNumberFormat="1" applyFont="1" applyFill="1" applyBorder="1" applyAlignment="1"/>
    <xf numFmtId="166" fontId="3" fillId="0" borderId="0" xfId="6" applyNumberFormat="1" applyFont="1" applyFill="1" applyBorder="1" applyAlignment="1"/>
    <xf numFmtId="166" fontId="3" fillId="0" borderId="7" xfId="6" applyNumberFormat="1" applyFont="1" applyFill="1" applyBorder="1"/>
    <xf numFmtId="166" fontId="3" fillId="0" borderId="0" xfId="6" applyNumberFormat="1" applyFont="1" applyFill="1" applyBorder="1"/>
    <xf numFmtId="166" fontId="5" fillId="0" borderId="7" xfId="6" applyNumberFormat="1" applyFont="1" applyFill="1" applyBorder="1" applyAlignment="1"/>
    <xf numFmtId="166" fontId="3" fillId="0" borderId="3" xfId="6" applyNumberFormat="1" applyFont="1" applyFill="1" applyBorder="1" applyAlignment="1"/>
    <xf numFmtId="166" fontId="3" fillId="0" borderId="6" xfId="6" applyNumberFormat="1" applyFont="1" applyFill="1" applyBorder="1"/>
    <xf numFmtId="166" fontId="3" fillId="0" borderId="7" xfId="6" applyNumberFormat="1" applyFont="1" applyFill="1" applyBorder="1" applyAlignment="1"/>
    <xf numFmtId="0" fontId="5" fillId="0" borderId="0" xfId="2" applyFont="1" applyFill="1" applyBorder="1"/>
    <xf numFmtId="164" fontId="5" fillId="0" borderId="3" xfId="5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64" fontId="5" fillId="0" borderId="3" xfId="5" applyNumberFormat="1" applyFont="1" applyFill="1" applyBorder="1" applyAlignment="1"/>
    <xf numFmtId="164" fontId="5" fillId="0" borderId="0" xfId="5" applyNumberFormat="1" applyFont="1" applyFill="1" applyBorder="1" applyAlignment="1"/>
    <xf numFmtId="164" fontId="3" fillId="0" borderId="6" xfId="5" applyNumberFormat="1" applyFont="1" applyFill="1" applyBorder="1" applyAlignment="1"/>
    <xf numFmtId="164" fontId="3" fillId="0" borderId="0" xfId="5" applyNumberFormat="1" applyFont="1" applyFill="1" applyBorder="1" applyAlignment="1"/>
    <xf numFmtId="164" fontId="5" fillId="0" borderId="7" xfId="5" applyNumberFormat="1" applyFont="1" applyFill="1" applyBorder="1" applyAlignment="1"/>
    <xf numFmtId="164" fontId="3" fillId="0" borderId="3" xfId="5" applyNumberFormat="1" applyFont="1" applyFill="1" applyBorder="1" applyAlignment="1"/>
    <xf numFmtId="164" fontId="3" fillId="0" borderId="7" xfId="5" applyNumberFormat="1" applyFont="1" applyFill="1" applyBorder="1" applyAlignment="1"/>
    <xf numFmtId="166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center"/>
    </xf>
    <xf numFmtId="164" fontId="5" fillId="0" borderId="8" xfId="5" applyNumberFormat="1" applyFont="1" applyFill="1" applyBorder="1" applyAlignment="1">
      <alignment horizontal="right"/>
    </xf>
    <xf numFmtId="164" fontId="3" fillId="0" borderId="9" xfId="5" applyNumberFormat="1" applyFont="1" applyFill="1" applyBorder="1"/>
    <xf numFmtId="164" fontId="3" fillId="0" borderId="10" xfId="5" applyNumberFormat="1" applyFont="1" applyFill="1" applyBorder="1"/>
    <xf numFmtId="164" fontId="5" fillId="0" borderId="10" xfId="5" applyNumberFormat="1" applyFont="1" applyFill="1" applyBorder="1" applyAlignment="1">
      <alignment horizontal="right"/>
    </xf>
    <xf numFmtId="166" fontId="7" fillId="0" borderId="0" xfId="6" applyNumberFormat="1" applyFont="1" applyFill="1" applyBorder="1"/>
    <xf numFmtId="166" fontId="7" fillId="0" borderId="6" xfId="6" applyNumberFormat="1" applyFont="1" applyFill="1" applyBorder="1"/>
    <xf numFmtId="1" fontId="5" fillId="0" borderId="0" xfId="2" applyNumberFormat="1" applyFont="1" applyFill="1" applyBorder="1" applyAlignment="1"/>
    <xf numFmtId="0" fontId="2" fillId="0" borderId="0" xfId="2" quotePrefix="1" applyFont="1" applyFill="1" applyBorder="1" applyAlignment="1">
      <alignment horizontal="left"/>
    </xf>
    <xf numFmtId="1" fontId="5" fillId="0" borderId="0" xfId="2" quotePrefix="1" applyNumberFormat="1" applyFont="1" applyFill="1" applyBorder="1" applyAlignment="1">
      <alignment horizontal="left"/>
    </xf>
    <xf numFmtId="1" fontId="2" fillId="0" borderId="0" xfId="2" applyNumberFormat="1" applyFont="1" applyFill="1" applyBorder="1" applyAlignment="1">
      <alignment horizontal="left"/>
    </xf>
    <xf numFmtId="164" fontId="5" fillId="0" borderId="9" xfId="5" applyNumberFormat="1" applyFont="1" applyFill="1" applyBorder="1" applyAlignment="1">
      <alignment horizontal="right"/>
    </xf>
    <xf numFmtId="166" fontId="7" fillId="0" borderId="0" xfId="6" applyNumberFormat="1" applyFont="1" applyFill="1" applyBorder="1" applyAlignment="1">
      <alignment horizontal="left"/>
    </xf>
    <xf numFmtId="164" fontId="5" fillId="0" borderId="6" xfId="5" applyNumberFormat="1" applyFont="1" applyFill="1" applyBorder="1" applyAlignment="1">
      <alignment horizontal="right"/>
    </xf>
    <xf numFmtId="164" fontId="5" fillId="0" borderId="7" xfId="5" applyNumberFormat="1" applyFont="1" applyFill="1" applyBorder="1" applyAlignment="1">
      <alignment horizontal="right"/>
    </xf>
    <xf numFmtId="164" fontId="3" fillId="0" borderId="3" xfId="5" applyNumberFormat="1" applyFont="1" applyFill="1" applyBorder="1" applyAlignment="1">
      <alignment horizontal="right"/>
    </xf>
    <xf numFmtId="164" fontId="3" fillId="0" borderId="0" xfId="5" applyNumberFormat="1" applyFont="1" applyFill="1" applyBorder="1" applyAlignment="1">
      <alignment horizontal="right"/>
    </xf>
    <xf numFmtId="164" fontId="3" fillId="0" borderId="7" xfId="5" applyNumberFormat="1" applyFont="1" applyFill="1" applyBorder="1" applyAlignment="1">
      <alignment horizontal="right"/>
    </xf>
    <xf numFmtId="0" fontId="5" fillId="0" borderId="0" xfId="2" quotePrefix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164" fontId="5" fillId="0" borderId="4" xfId="5" applyNumberFormat="1" applyFont="1" applyFill="1" applyBorder="1" applyAlignment="1">
      <alignment horizontal="right"/>
    </xf>
    <xf numFmtId="164" fontId="3" fillId="0" borderId="4" xfId="5" applyNumberFormat="1" applyFont="1" applyFill="1" applyBorder="1"/>
    <xf numFmtId="164" fontId="3" fillId="0" borderId="12" xfId="5" applyNumberFormat="1" applyFont="1" applyFill="1" applyBorder="1" applyAlignment="1"/>
    <xf numFmtId="164" fontId="3" fillId="0" borderId="11" xfId="5" applyNumberFormat="1" applyFont="1" applyFill="1" applyBorder="1"/>
    <xf numFmtId="166" fontId="2" fillId="0" borderId="0" xfId="6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center"/>
    </xf>
    <xf numFmtId="166" fontId="5" fillId="0" borderId="13" xfId="6" applyNumberFormat="1" applyFont="1" applyFill="1" applyBorder="1" applyAlignment="1">
      <alignment horizontal="right"/>
    </xf>
    <xf numFmtId="166" fontId="5" fillId="0" borderId="14" xfId="6" applyNumberFormat="1" applyFont="1" applyFill="1" applyBorder="1" applyAlignment="1">
      <alignment horizontal="right"/>
    </xf>
    <xf numFmtId="166" fontId="5" fillId="0" borderId="15" xfId="6" applyNumberFormat="1" applyFont="1" applyFill="1" applyBorder="1" applyAlignment="1">
      <alignment horizontal="right"/>
    </xf>
    <xf numFmtId="166" fontId="5" fillId="0" borderId="6" xfId="6" applyNumberFormat="1" applyFont="1" applyFill="1" applyBorder="1" applyAlignment="1">
      <alignment horizontal="right"/>
    </xf>
    <xf numFmtId="166" fontId="3" fillId="0" borderId="0" xfId="6" applyNumberFormat="1" applyFont="1" applyFill="1" applyBorder="1" applyAlignment="1">
      <alignment horizontal="right"/>
    </xf>
    <xf numFmtId="42" fontId="5" fillId="0" borderId="3" xfId="2" applyNumberFormat="1" applyFont="1" applyFill="1" applyBorder="1" applyAlignment="1">
      <alignment horizontal="right"/>
    </xf>
    <xf numFmtId="42" fontId="5" fillId="0" borderId="0" xfId="2" applyNumberFormat="1" applyFont="1" applyFill="1" applyBorder="1" applyAlignment="1">
      <alignment horizontal="right"/>
    </xf>
    <xf numFmtId="42" fontId="5" fillId="0" borderId="6" xfId="2" applyNumberFormat="1" applyFont="1" applyFill="1" applyBorder="1" applyAlignment="1">
      <alignment horizontal="right"/>
    </xf>
    <xf numFmtId="42" fontId="5" fillId="0" borderId="7" xfId="2" applyNumberFormat="1" applyFont="1" applyFill="1" applyBorder="1" applyAlignment="1">
      <alignment horizontal="right"/>
    </xf>
    <xf numFmtId="42" fontId="3" fillId="0" borderId="3" xfId="2" applyNumberFormat="1" applyFont="1" applyFill="1" applyBorder="1" applyAlignment="1">
      <alignment horizontal="right"/>
    </xf>
    <xf numFmtId="42" fontId="3" fillId="0" borderId="6" xfId="2" applyNumberFormat="1" applyFont="1" applyFill="1" applyBorder="1" applyAlignment="1">
      <alignment horizontal="right"/>
    </xf>
    <xf numFmtId="42" fontId="3" fillId="0" borderId="0" xfId="2" applyNumberFormat="1" applyFont="1" applyFill="1" applyBorder="1" applyAlignment="1">
      <alignment horizontal="right"/>
    </xf>
    <xf numFmtId="42" fontId="3" fillId="0" borderId="7" xfId="2" applyNumberFormat="1" applyFont="1" applyFill="1" applyBorder="1" applyAlignment="1">
      <alignment horizontal="right"/>
    </xf>
    <xf numFmtId="43" fontId="3" fillId="0" borderId="7" xfId="5" applyFont="1" applyFill="1" applyBorder="1" applyAlignment="1">
      <alignment horizontal="right"/>
    </xf>
    <xf numFmtId="168" fontId="5" fillId="0" borderId="3" xfId="5" applyNumberFormat="1" applyFont="1" applyFill="1" applyBorder="1" applyAlignment="1">
      <alignment horizontal="right"/>
    </xf>
    <xf numFmtId="168" fontId="5" fillId="0" borderId="0" xfId="5" applyNumberFormat="1" applyFont="1" applyFill="1" applyBorder="1" applyAlignment="1">
      <alignment horizontal="right"/>
    </xf>
    <xf numFmtId="168" fontId="5" fillId="0" borderId="6" xfId="5" applyNumberFormat="1" applyFont="1" applyFill="1" applyBorder="1" applyAlignment="1">
      <alignment horizontal="right"/>
    </xf>
    <xf numFmtId="168" fontId="5" fillId="0" borderId="7" xfId="5" applyNumberFormat="1" applyFont="1" applyFill="1" applyBorder="1" applyAlignment="1">
      <alignment horizontal="right"/>
    </xf>
    <xf numFmtId="168" fontId="3" fillId="0" borderId="3" xfId="5" applyNumberFormat="1" applyFont="1" applyFill="1" applyBorder="1" applyAlignment="1">
      <alignment horizontal="right"/>
    </xf>
    <xf numFmtId="168" fontId="3" fillId="0" borderId="6" xfId="5" applyNumberFormat="1" applyFont="1" applyFill="1" applyBorder="1" applyAlignment="1">
      <alignment horizontal="right"/>
    </xf>
    <xf numFmtId="168" fontId="3" fillId="0" borderId="0" xfId="5" applyNumberFormat="1" applyFont="1" applyFill="1" applyBorder="1" applyAlignment="1">
      <alignment horizontal="right"/>
    </xf>
    <xf numFmtId="168" fontId="3" fillId="0" borderId="7" xfId="5" applyNumberFormat="1" applyFont="1" applyFill="1" applyBorder="1" applyAlignment="1">
      <alignment horizontal="right"/>
    </xf>
    <xf numFmtId="7" fontId="5" fillId="0" borderId="3" xfId="6" applyNumberFormat="1" applyFont="1" applyFill="1" applyBorder="1" applyAlignment="1">
      <alignment horizontal="right"/>
    </xf>
    <xf numFmtId="7" fontId="5" fillId="0" borderId="0" xfId="6" applyNumberFormat="1" applyFont="1" applyFill="1" applyBorder="1" applyAlignment="1">
      <alignment horizontal="right"/>
    </xf>
    <xf numFmtId="7" fontId="5" fillId="0" borderId="6" xfId="6" applyNumberFormat="1" applyFont="1" applyFill="1" applyBorder="1" applyAlignment="1">
      <alignment horizontal="right"/>
    </xf>
    <xf numFmtId="7" fontId="5" fillId="0" borderId="7" xfId="6" applyNumberFormat="1" applyFont="1" applyFill="1" applyBorder="1" applyAlignment="1">
      <alignment horizontal="right"/>
    </xf>
    <xf numFmtId="7" fontId="3" fillId="0" borderId="3" xfId="6" applyNumberFormat="1" applyFont="1" applyFill="1" applyBorder="1" applyAlignment="1">
      <alignment horizontal="right"/>
    </xf>
    <xf numFmtId="7" fontId="3" fillId="0" borderId="6" xfId="6" applyNumberFormat="1" applyFont="1" applyFill="1" applyBorder="1" applyAlignment="1">
      <alignment horizontal="right"/>
    </xf>
    <xf numFmtId="7" fontId="3" fillId="0" borderId="0" xfId="6" applyNumberFormat="1" applyFont="1" applyFill="1" applyBorder="1" applyAlignment="1">
      <alignment horizontal="right"/>
    </xf>
    <xf numFmtId="7" fontId="3" fillId="0" borderId="7" xfId="6" applyNumberFormat="1" applyFont="1" applyFill="1" applyBorder="1" applyAlignment="1">
      <alignment horizontal="right"/>
    </xf>
    <xf numFmtId="169" fontId="5" fillId="0" borderId="3" xfId="2" applyNumberFormat="1" applyFont="1" applyFill="1" applyBorder="1" applyAlignment="1">
      <alignment horizontal="right"/>
    </xf>
    <xf numFmtId="169" fontId="5" fillId="0" borderId="0" xfId="2" applyNumberFormat="1" applyFont="1" applyFill="1" applyBorder="1" applyAlignment="1">
      <alignment horizontal="right"/>
    </xf>
    <xf numFmtId="169" fontId="5" fillId="0" borderId="6" xfId="2" applyNumberFormat="1" applyFont="1" applyFill="1" applyBorder="1" applyAlignment="1">
      <alignment horizontal="right"/>
    </xf>
    <xf numFmtId="169" fontId="5" fillId="0" borderId="7" xfId="2" applyNumberFormat="1" applyFont="1" applyFill="1" applyBorder="1" applyAlignment="1">
      <alignment horizontal="right"/>
    </xf>
    <xf numFmtId="169" fontId="3" fillId="0" borderId="3" xfId="2" applyNumberFormat="1" applyFont="1" applyFill="1" applyBorder="1" applyAlignment="1">
      <alignment horizontal="right"/>
    </xf>
    <xf numFmtId="169" fontId="3" fillId="0" borderId="6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169" fontId="3" fillId="0" borderId="7" xfId="2" applyNumberFormat="1" applyFont="1" applyFill="1" applyBorder="1" applyAlignment="1">
      <alignment horizontal="right"/>
    </xf>
    <xf numFmtId="44" fontId="3" fillId="0" borderId="6" xfId="6" applyFont="1" applyFill="1" applyBorder="1" applyAlignment="1"/>
    <xf numFmtId="44" fontId="5" fillId="0" borderId="3" xfId="6" applyFont="1" applyFill="1" applyBorder="1" applyAlignment="1">
      <alignment horizontal="right"/>
    </xf>
    <xf numFmtId="44" fontId="5" fillId="0" borderId="0" xfId="6" applyFont="1" applyFill="1" applyBorder="1" applyAlignment="1">
      <alignment horizontal="right"/>
    </xf>
    <xf numFmtId="0" fontId="3" fillId="0" borderId="3" xfId="2" applyFont="1" applyFill="1" applyBorder="1"/>
    <xf numFmtId="44" fontId="5" fillId="0" borderId="4" xfId="2" applyNumberFormat="1" applyFont="1" applyFill="1" applyBorder="1" applyAlignment="1">
      <alignment horizontal="right"/>
    </xf>
    <xf numFmtId="44" fontId="5" fillId="0" borderId="0" xfId="2" applyNumberFormat="1" applyFont="1" applyFill="1" applyBorder="1" applyAlignment="1">
      <alignment horizontal="right"/>
    </xf>
    <xf numFmtId="0" fontId="3" fillId="0" borderId="4" xfId="2" applyFont="1" applyFill="1" applyBorder="1"/>
    <xf numFmtId="164" fontId="3" fillId="0" borderId="12" xfId="5" applyNumberFormat="1" applyFont="1" applyFill="1" applyBorder="1"/>
    <xf numFmtId="164" fontId="3" fillId="0" borderId="5" xfId="5" applyNumberFormat="1" applyFont="1" applyFill="1" applyBorder="1"/>
    <xf numFmtId="37" fontId="2" fillId="0" borderId="0" xfId="7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37" fontId="3" fillId="0" borderId="0" xfId="8" applyFont="1" applyFill="1" applyBorder="1" applyProtection="1">
      <protection locked="0"/>
    </xf>
    <xf numFmtId="0" fontId="3" fillId="0" borderId="0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165" fontId="5" fillId="0" borderId="0" xfId="2" applyNumberFormat="1" applyFont="1" applyFill="1" applyBorder="1"/>
    <xf numFmtId="166" fontId="3" fillId="0" borderId="0" xfId="6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/>
    <xf numFmtId="42" fontId="3" fillId="0" borderId="3" xfId="2" applyNumberFormat="1" applyFont="1" applyFill="1" applyBorder="1" applyAlignment="1">
      <alignment horizontal="center"/>
    </xf>
    <xf numFmtId="42" fontId="3" fillId="0" borderId="0" xfId="2" applyNumberFormat="1" applyFont="1" applyFill="1" applyBorder="1" applyAlignment="1">
      <alignment horizontal="center"/>
    </xf>
    <xf numFmtId="42" fontId="3" fillId="0" borderId="6" xfId="2" applyNumberFormat="1" applyFont="1" applyFill="1" applyBorder="1" applyAlignment="1">
      <alignment horizontal="center"/>
    </xf>
    <xf numFmtId="42" fontId="3" fillId="0" borderId="7" xfId="2" applyNumberFormat="1" applyFont="1" applyFill="1" applyBorder="1" applyAlignment="1">
      <alignment horizontal="center"/>
    </xf>
    <xf numFmtId="42" fontId="3" fillId="0" borderId="0" xfId="2" applyNumberFormat="1" applyFont="1" applyFill="1" applyBorder="1"/>
    <xf numFmtId="1" fontId="3" fillId="0" borderId="0" xfId="2" applyNumberFormat="1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center"/>
    </xf>
    <xf numFmtId="164" fontId="3" fillId="0" borderId="7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164" fontId="3" fillId="0" borderId="10" xfId="2" applyNumberFormat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10" fillId="0" borderId="6" xfId="5" applyNumberFormat="1" applyFont="1" applyFill="1" applyBorder="1"/>
    <xf numFmtId="164" fontId="3" fillId="0" borderId="8" xfId="5" applyNumberFormat="1" applyFont="1" applyFill="1" applyBorder="1"/>
    <xf numFmtId="164" fontId="3" fillId="0" borderId="0" xfId="5" applyNumberFormat="1" applyFont="1" applyFill="1" applyBorder="1" applyAlignment="1">
      <alignment horizontal="left"/>
    </xf>
    <xf numFmtId="164" fontId="3" fillId="0" borderId="3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164" fontId="3" fillId="0" borderId="7" xfId="5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left"/>
    </xf>
    <xf numFmtId="166" fontId="3" fillId="0" borderId="6" xfId="6" applyNumberFormat="1" applyFont="1" applyFill="1" applyBorder="1" applyAlignment="1">
      <alignment horizontal="left"/>
    </xf>
    <xf numFmtId="166" fontId="3" fillId="0" borderId="7" xfId="6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2" fillId="0" borderId="0" xfId="2" applyFont="1" applyFill="1" applyBorder="1" applyAlignment="1"/>
    <xf numFmtId="0" fontId="13" fillId="0" borderId="0" xfId="2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9">
    <cellStyle name="Comma" xfId="1" builtinId="3"/>
    <cellStyle name="Comma 2" xfId="5"/>
    <cellStyle name="Comma 3" xfId="4"/>
    <cellStyle name="Currency 2" xfId="6"/>
    <cellStyle name="Currency 3" xfId="3"/>
    <cellStyle name="Normal" xfId="0" builtinId="0"/>
    <cellStyle name="Normal 2" xfId="2"/>
    <cellStyle name="Normal_Data 6'96_1" xfId="7"/>
    <cellStyle name="Normal_Data 6'96_1_TDS 'Q4 2005_linked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DS Corporate Template">
  <a:themeElements>
    <a:clrScheme name="Custom 1">
      <a:dk1>
        <a:srgbClr val="63666A"/>
      </a:dk1>
      <a:lt1>
        <a:sysClr val="window" lastClr="FFFFFF"/>
      </a:lt1>
      <a:dk2>
        <a:srgbClr val="000000"/>
      </a:dk2>
      <a:lt2>
        <a:srgbClr val="B7DD79"/>
      </a:lt2>
      <a:accent1>
        <a:srgbClr val="0075C5"/>
      </a:accent1>
      <a:accent2>
        <a:srgbClr val="53CB42"/>
      </a:accent2>
      <a:accent3>
        <a:srgbClr val="002D72"/>
      </a:accent3>
      <a:accent4>
        <a:srgbClr val="CC8A00"/>
      </a:accent4>
      <a:accent5>
        <a:srgbClr val="5C068C"/>
      </a:accent5>
      <a:accent6>
        <a:srgbClr val="8BB8E8"/>
      </a:accent6>
      <a:hlink>
        <a:srgbClr val="00FFFF"/>
      </a:hlink>
      <a:folHlink>
        <a:srgbClr val="53CB42"/>
      </a:folHlink>
    </a:clrScheme>
    <a:fontScheme name="TDS Corporate Theme Fonts">
      <a:maj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BF86"/>
  <sheetViews>
    <sheetView tabSelected="1" workbookViewId="0">
      <pane xSplit="5" ySplit="9" topLeftCell="AW10" activePane="bottomRight" state="frozen"/>
      <selection pane="topRight" activeCell="F1" sqref="F1"/>
      <selection pane="bottomLeft" activeCell="A10" sqref="A10"/>
      <selection pane="bottomRight" activeCell="BD5" sqref="BD5"/>
    </sheetView>
  </sheetViews>
  <sheetFormatPr defaultRowHeight="12.75"/>
  <cols>
    <col min="1" max="1" width="3.7109375" customWidth="1"/>
    <col min="2" max="4" width="2.7109375" customWidth="1"/>
    <col min="5" max="5" width="68.570312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7.5703125" bestFit="1" customWidth="1"/>
    <col min="11" max="11" width="2.5703125" customWidth="1"/>
    <col min="12" max="12" width="13.42578125" bestFit="1" customWidth="1"/>
    <col min="13" max="13" width="2.5703125" customWidth="1"/>
    <col min="14" max="14" width="17.5703125" bestFit="1" customWidth="1"/>
    <col min="15" max="15" width="2.5703125" customWidth="1"/>
    <col min="16" max="16" width="14.140625" bestFit="1" customWidth="1"/>
    <col min="17" max="17" width="2.5703125" customWidth="1"/>
    <col min="18" max="18" width="17.5703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7.5703125" bestFit="1" customWidth="1"/>
    <col min="25" max="25" width="2.5703125" customWidth="1"/>
    <col min="26" max="26" width="13.42578125" bestFit="1" customWidth="1"/>
    <col min="27" max="27" width="2.5703125" customWidth="1"/>
    <col min="28" max="28" width="17.5703125" bestFit="1" customWidth="1"/>
    <col min="29" max="29" width="2.5703125" customWidth="1"/>
    <col min="30" max="30" width="14.140625" bestFit="1" customWidth="1"/>
    <col min="31" max="31" width="2.5703125" customWidth="1"/>
    <col min="32" max="32" width="17.5703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  <col min="37" max="37" width="2.5703125" customWidth="1"/>
    <col min="38" max="38" width="17.5703125" bestFit="1" customWidth="1"/>
    <col min="39" max="39" width="2.5703125" customWidth="1"/>
    <col min="40" max="40" width="13.42578125" bestFit="1" customWidth="1"/>
    <col min="41" max="41" width="2.5703125" customWidth="1"/>
    <col min="42" max="42" width="17.5703125" bestFit="1" customWidth="1"/>
    <col min="43" max="43" width="2.5703125" customWidth="1"/>
    <col min="44" max="44" width="13.42578125" bestFit="1" customWidth="1"/>
    <col min="45" max="45" width="2.5703125" customWidth="1"/>
    <col min="46" max="46" width="17.5703125" bestFit="1" customWidth="1"/>
    <col min="47" max="47" width="2.5703125" customWidth="1"/>
    <col min="48" max="48" width="19.140625" bestFit="1" customWidth="1"/>
    <col min="49" max="49" width="2.5703125" customWidth="1"/>
    <col min="50" max="50" width="15.42578125" bestFit="1" customWidth="1"/>
    <col min="51" max="51" width="2.5703125" customWidth="1"/>
    <col min="52" max="52" width="17.5703125" bestFit="1" customWidth="1"/>
    <col min="53" max="53" width="2.5703125" customWidth="1"/>
    <col min="54" max="54" width="13.42578125" bestFit="1" customWidth="1"/>
    <col min="55" max="55" width="2.5703125" customWidth="1"/>
    <col min="56" max="56" width="17.5703125" bestFit="1" customWidth="1"/>
    <col min="57" max="57" width="2.5703125" customWidth="1"/>
    <col min="58" max="58" width="13.42578125" bestFit="1" customWidth="1"/>
  </cols>
  <sheetData>
    <row r="2" spans="2:58" ht="25.5">
      <c r="B2" s="261" t="s">
        <v>105</v>
      </c>
      <c r="C2" s="2"/>
      <c r="D2" s="2"/>
      <c r="E2" s="2"/>
      <c r="F2" s="3"/>
      <c r="G2" s="3"/>
      <c r="H2" s="3"/>
      <c r="I2" s="3"/>
      <c r="J2" s="4"/>
      <c r="K2" s="3"/>
      <c r="L2" s="3"/>
      <c r="M2" s="3"/>
      <c r="N2" s="4"/>
      <c r="O2" s="3"/>
      <c r="P2" s="3"/>
      <c r="Q2" s="3"/>
      <c r="R2" s="4"/>
      <c r="S2" s="3"/>
      <c r="T2" s="3"/>
      <c r="U2" s="3"/>
      <c r="V2" s="3"/>
      <c r="W2" s="3"/>
      <c r="X2" s="4"/>
      <c r="Y2" s="3"/>
      <c r="Z2" s="3"/>
      <c r="AA2" s="3"/>
      <c r="AB2" s="4"/>
      <c r="AC2" s="3"/>
      <c r="AD2" s="3"/>
      <c r="AE2" s="3"/>
      <c r="AF2" s="4"/>
      <c r="AG2" s="3"/>
      <c r="AH2" s="3"/>
      <c r="AI2" s="3"/>
      <c r="AJ2" s="3"/>
      <c r="AK2" s="3"/>
      <c r="AL2" s="4"/>
      <c r="AM2" s="3"/>
      <c r="AN2" s="3"/>
      <c r="AO2" s="3"/>
      <c r="AP2" s="4"/>
      <c r="AQ2" s="3"/>
      <c r="AR2" s="3"/>
      <c r="AS2" s="3"/>
      <c r="AT2" s="4"/>
      <c r="AU2" s="3"/>
      <c r="AV2" s="3"/>
      <c r="AW2" s="3"/>
      <c r="AX2" s="3"/>
      <c r="AY2" s="3"/>
      <c r="AZ2" s="4"/>
      <c r="BA2" s="3"/>
      <c r="BB2" s="3"/>
      <c r="BC2" s="3"/>
      <c r="BD2" s="4"/>
      <c r="BE2" s="3"/>
      <c r="BF2" s="3"/>
    </row>
    <row r="3" spans="2:58" ht="15.75">
      <c r="B3" s="262" t="s">
        <v>0</v>
      </c>
      <c r="C3" s="5"/>
      <c r="D3" s="5"/>
      <c r="E3" s="5"/>
      <c r="F3" s="8"/>
      <c r="G3" s="7"/>
      <c r="H3" s="8"/>
      <c r="I3" s="3"/>
      <c r="J3" s="9"/>
      <c r="K3" s="8"/>
      <c r="L3" s="8"/>
      <c r="M3" s="3"/>
      <c r="N3" s="9"/>
      <c r="O3" s="8"/>
      <c r="P3" s="8"/>
      <c r="Q3" s="3"/>
      <c r="R3" s="9"/>
      <c r="S3" s="8"/>
      <c r="T3" s="8"/>
      <c r="U3" s="7"/>
      <c r="V3" s="8"/>
      <c r="W3" s="3"/>
      <c r="X3" s="9"/>
      <c r="Y3" s="8"/>
      <c r="Z3" s="8"/>
      <c r="AA3" s="3"/>
      <c r="AB3" s="9"/>
      <c r="AC3" s="8"/>
      <c r="AD3" s="8"/>
      <c r="AE3" s="3"/>
      <c r="AF3" s="9"/>
      <c r="AG3" s="8"/>
      <c r="AH3" s="8"/>
      <c r="AI3" s="7"/>
      <c r="AJ3" s="8"/>
      <c r="AK3" s="3"/>
      <c r="AL3" s="9"/>
      <c r="AM3" s="8"/>
      <c r="AN3" s="8"/>
      <c r="AO3" s="3"/>
      <c r="AP3" s="9"/>
      <c r="AQ3" s="8"/>
      <c r="AR3" s="8"/>
      <c r="AS3" s="3"/>
      <c r="AT3" s="9"/>
      <c r="AU3" s="8"/>
      <c r="AV3" s="8"/>
      <c r="AW3" s="7"/>
      <c r="AX3" s="8"/>
      <c r="AY3" s="3"/>
      <c r="AZ3" s="9"/>
      <c r="BA3" s="8"/>
      <c r="BB3" s="8"/>
      <c r="BC3" s="3"/>
      <c r="BD3" s="9"/>
      <c r="BE3" s="8"/>
      <c r="BF3" s="8"/>
    </row>
    <row r="4" spans="2:58">
      <c r="B4" s="6" t="s">
        <v>1</v>
      </c>
      <c r="C4" s="6"/>
      <c r="D4" s="6"/>
      <c r="E4" s="6"/>
      <c r="F4" s="2"/>
      <c r="G4" s="3"/>
      <c r="H4" s="3"/>
      <c r="I4" s="3"/>
      <c r="J4" s="10"/>
      <c r="K4" s="2"/>
      <c r="L4" s="2"/>
      <c r="M4" s="3"/>
      <c r="N4" s="10"/>
      <c r="O4" s="2"/>
      <c r="P4" s="2"/>
      <c r="Q4" s="3"/>
      <c r="R4" s="10"/>
      <c r="S4" s="2"/>
      <c r="T4" s="2"/>
      <c r="U4" s="3"/>
      <c r="V4" s="3"/>
      <c r="W4" s="3"/>
      <c r="X4" s="10"/>
      <c r="Y4" s="2"/>
      <c r="Z4" s="2"/>
      <c r="AA4" s="3"/>
      <c r="AB4" s="10"/>
      <c r="AC4" s="2"/>
      <c r="AD4" s="2"/>
      <c r="AE4" s="3"/>
      <c r="AF4" s="10"/>
      <c r="AG4" s="2"/>
      <c r="AH4" s="2"/>
      <c r="AI4" s="3"/>
      <c r="AJ4" s="3"/>
      <c r="AK4" s="3"/>
      <c r="AL4" s="10"/>
      <c r="AM4" s="2"/>
      <c r="AN4" s="2"/>
      <c r="AO4" s="3"/>
      <c r="AP4" s="10"/>
      <c r="AQ4" s="2"/>
      <c r="AR4" s="2"/>
      <c r="AS4" s="3"/>
      <c r="AT4" s="10"/>
      <c r="AU4" s="2"/>
      <c r="AV4" s="2"/>
      <c r="AW4" s="3"/>
      <c r="AX4" s="3"/>
      <c r="AY4" s="3"/>
      <c r="AZ4" s="10"/>
      <c r="BA4" s="2"/>
      <c r="BB4" s="2"/>
      <c r="BC4" s="3"/>
      <c r="BD4" s="10"/>
      <c r="BE4" s="2"/>
      <c r="BF4" s="2"/>
    </row>
    <row r="5" spans="2:58">
      <c r="B5" s="11"/>
      <c r="C5" s="6"/>
      <c r="D5" s="6"/>
      <c r="E5" s="6"/>
      <c r="F5" s="3"/>
      <c r="G5" s="3"/>
      <c r="H5" s="3"/>
      <c r="I5" s="3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V5" s="3"/>
      <c r="W5" s="3"/>
      <c r="X5" s="4"/>
      <c r="Y5" s="3"/>
      <c r="Z5" s="3"/>
      <c r="AA5" s="3"/>
      <c r="AB5" s="4"/>
      <c r="AC5" s="3"/>
      <c r="AD5" s="3"/>
      <c r="AE5" s="3"/>
      <c r="AF5" s="4"/>
      <c r="AG5" s="3"/>
      <c r="AH5" s="3"/>
      <c r="AI5" s="3"/>
      <c r="AJ5" s="3"/>
      <c r="AK5" s="3"/>
      <c r="AL5" s="4"/>
      <c r="AM5" s="3"/>
      <c r="AN5" s="3"/>
      <c r="AO5" s="3"/>
      <c r="AP5" s="4"/>
      <c r="AQ5" s="3"/>
      <c r="AR5" s="3"/>
      <c r="AS5" s="3"/>
      <c r="AT5" s="4"/>
      <c r="AU5" s="3"/>
      <c r="AV5" s="3"/>
      <c r="AW5" s="3"/>
      <c r="AX5" s="3"/>
      <c r="AY5" s="3"/>
      <c r="AZ5" s="4"/>
      <c r="BA5" s="3"/>
      <c r="BB5" s="3"/>
      <c r="BC5" s="3"/>
      <c r="BD5" s="4"/>
      <c r="BE5" s="3"/>
      <c r="BF5" s="3"/>
    </row>
    <row r="6" spans="2:58">
      <c r="B6" s="5"/>
      <c r="C6" s="5"/>
      <c r="D6" s="5"/>
      <c r="E6" s="5"/>
      <c r="F6" s="275" t="s">
        <v>13</v>
      </c>
      <c r="G6" s="15"/>
      <c r="H6" s="265" t="s">
        <v>5</v>
      </c>
      <c r="I6" s="15"/>
      <c r="J6" s="268" t="s">
        <v>5</v>
      </c>
      <c r="K6" s="14"/>
      <c r="L6" s="265" t="s">
        <v>6</v>
      </c>
      <c r="M6" s="15"/>
      <c r="N6" s="268" t="s">
        <v>5</v>
      </c>
      <c r="O6" s="14"/>
      <c r="P6" s="265" t="s">
        <v>7</v>
      </c>
      <c r="Q6" s="15"/>
      <c r="R6" s="268" t="s">
        <v>5</v>
      </c>
      <c r="S6" s="14"/>
      <c r="T6" s="275" t="s">
        <v>14</v>
      </c>
      <c r="U6" s="15"/>
      <c r="V6" s="265" t="s">
        <v>5</v>
      </c>
      <c r="W6" s="15"/>
      <c r="X6" s="268" t="s">
        <v>5</v>
      </c>
      <c r="Y6" s="14"/>
      <c r="Z6" s="265" t="s">
        <v>6</v>
      </c>
      <c r="AA6" s="15"/>
      <c r="AB6" s="268" t="s">
        <v>5</v>
      </c>
      <c r="AC6" s="14"/>
      <c r="AD6" s="265" t="s">
        <v>7</v>
      </c>
      <c r="AE6" s="15"/>
      <c r="AF6" s="268" t="s">
        <v>5</v>
      </c>
      <c r="AG6" s="14"/>
      <c r="AH6" s="275" t="s">
        <v>106</v>
      </c>
      <c r="AI6" s="15"/>
      <c r="AJ6" s="265" t="s">
        <v>5</v>
      </c>
      <c r="AK6" s="15"/>
      <c r="AL6" s="268" t="s">
        <v>5</v>
      </c>
      <c r="AM6" s="14"/>
      <c r="AN6" s="265" t="s">
        <v>6</v>
      </c>
      <c r="AO6" s="15"/>
      <c r="AP6" s="268" t="s">
        <v>5</v>
      </c>
      <c r="AQ6" s="14"/>
      <c r="AR6" s="265" t="s">
        <v>7</v>
      </c>
      <c r="AS6" s="15"/>
      <c r="AT6" s="268" t="s">
        <v>5</v>
      </c>
      <c r="AU6" s="14"/>
      <c r="AV6" s="275" t="s">
        <v>107</v>
      </c>
      <c r="AW6" s="15"/>
      <c r="AX6" s="265" t="s">
        <v>5</v>
      </c>
      <c r="AY6" s="15"/>
      <c r="AZ6" s="268" t="s">
        <v>5</v>
      </c>
      <c r="BA6" s="14"/>
      <c r="BB6" s="265" t="s">
        <v>6</v>
      </c>
      <c r="BC6" s="15"/>
      <c r="BD6" s="268" t="s">
        <v>5</v>
      </c>
      <c r="BE6" s="14"/>
      <c r="BF6" s="265" t="s">
        <v>7</v>
      </c>
    </row>
    <row r="7" spans="2:58">
      <c r="B7" s="12"/>
      <c r="C7" s="12"/>
      <c r="D7" s="12"/>
      <c r="E7" s="12"/>
      <c r="F7" s="276"/>
      <c r="G7" s="15"/>
      <c r="H7" s="266" t="s">
        <v>15</v>
      </c>
      <c r="I7" s="15"/>
      <c r="J7" s="269" t="s">
        <v>15</v>
      </c>
      <c r="K7" s="13"/>
      <c r="L7" s="266" t="s">
        <v>15</v>
      </c>
      <c r="M7" s="15"/>
      <c r="N7" s="269" t="s">
        <v>15</v>
      </c>
      <c r="O7" s="13"/>
      <c r="P7" s="266" t="s">
        <v>15</v>
      </c>
      <c r="Q7" s="15"/>
      <c r="R7" s="269" t="s">
        <v>15</v>
      </c>
      <c r="S7" s="13"/>
      <c r="T7" s="276"/>
      <c r="U7" s="15"/>
      <c r="V7" s="266" t="s">
        <v>15</v>
      </c>
      <c r="W7" s="15"/>
      <c r="X7" s="269" t="s">
        <v>15</v>
      </c>
      <c r="Y7" s="13"/>
      <c r="Z7" s="266" t="s">
        <v>15</v>
      </c>
      <c r="AA7" s="15"/>
      <c r="AB7" s="269" t="s">
        <v>15</v>
      </c>
      <c r="AC7" s="13"/>
      <c r="AD7" s="266" t="s">
        <v>15</v>
      </c>
      <c r="AE7" s="15"/>
      <c r="AF7" s="269" t="s">
        <v>15</v>
      </c>
      <c r="AG7" s="13"/>
      <c r="AH7" s="276"/>
      <c r="AI7" s="15"/>
      <c r="AJ7" s="266" t="s">
        <v>15</v>
      </c>
      <c r="AK7" s="15"/>
      <c r="AL7" s="269" t="s">
        <v>15</v>
      </c>
      <c r="AM7" s="13"/>
      <c r="AN7" s="266" t="s">
        <v>15</v>
      </c>
      <c r="AO7" s="15"/>
      <c r="AP7" s="269" t="s">
        <v>15</v>
      </c>
      <c r="AQ7" s="13"/>
      <c r="AR7" s="266" t="s">
        <v>15</v>
      </c>
      <c r="AS7" s="15"/>
      <c r="AT7" s="269" t="s">
        <v>15</v>
      </c>
      <c r="AU7" s="13"/>
      <c r="AV7" s="276"/>
      <c r="AW7" s="15"/>
      <c r="AX7" s="266" t="s">
        <v>15</v>
      </c>
      <c r="AY7" s="15"/>
      <c r="AZ7" s="269" t="s">
        <v>15</v>
      </c>
      <c r="BA7" s="13"/>
      <c r="BB7" s="266" t="s">
        <v>15</v>
      </c>
      <c r="BC7" s="15"/>
      <c r="BD7" s="269" t="s">
        <v>15</v>
      </c>
      <c r="BE7" s="13"/>
      <c r="BF7" s="266" t="s">
        <v>15</v>
      </c>
    </row>
    <row r="8" spans="2:58">
      <c r="B8" s="16"/>
      <c r="C8" s="17"/>
      <c r="D8" s="17"/>
      <c r="E8" s="17"/>
      <c r="F8" s="276"/>
      <c r="G8" s="15"/>
      <c r="H8" s="266" t="s">
        <v>16</v>
      </c>
      <c r="I8" s="15"/>
      <c r="J8" s="269" t="s">
        <v>17</v>
      </c>
      <c r="K8" s="13"/>
      <c r="L8" s="266" t="s">
        <v>17</v>
      </c>
      <c r="M8" s="15"/>
      <c r="N8" s="269" t="s">
        <v>21</v>
      </c>
      <c r="O8" s="13"/>
      <c r="P8" s="266" t="s">
        <v>21</v>
      </c>
      <c r="Q8" s="15"/>
      <c r="R8" s="269" t="s">
        <v>22</v>
      </c>
      <c r="S8" s="13"/>
      <c r="T8" s="276"/>
      <c r="U8" s="15"/>
      <c r="V8" s="266" t="s">
        <v>16</v>
      </c>
      <c r="W8" s="15"/>
      <c r="X8" s="269" t="s">
        <v>17</v>
      </c>
      <c r="Y8" s="13"/>
      <c r="Z8" s="266" t="s">
        <v>17</v>
      </c>
      <c r="AA8" s="15"/>
      <c r="AB8" s="269" t="s">
        <v>21</v>
      </c>
      <c r="AC8" s="13"/>
      <c r="AD8" s="266" t="s">
        <v>21</v>
      </c>
      <c r="AE8" s="15"/>
      <c r="AF8" s="269" t="s">
        <v>22</v>
      </c>
      <c r="AG8" s="13"/>
      <c r="AH8" s="276"/>
      <c r="AI8" s="15"/>
      <c r="AJ8" s="266" t="s">
        <v>16</v>
      </c>
      <c r="AK8" s="15"/>
      <c r="AL8" s="269" t="s">
        <v>17</v>
      </c>
      <c r="AM8" s="13"/>
      <c r="AN8" s="266" t="s">
        <v>17</v>
      </c>
      <c r="AO8" s="15"/>
      <c r="AP8" s="269" t="s">
        <v>18</v>
      </c>
      <c r="AQ8" s="13"/>
      <c r="AR8" s="266" t="s">
        <v>18</v>
      </c>
      <c r="AS8" s="15"/>
      <c r="AT8" s="269" t="s">
        <v>22</v>
      </c>
      <c r="AU8" s="13"/>
      <c r="AV8" s="276"/>
      <c r="AW8" s="15"/>
      <c r="AX8" s="266" t="s">
        <v>16</v>
      </c>
      <c r="AY8" s="15"/>
      <c r="AZ8" s="269" t="s">
        <v>17</v>
      </c>
      <c r="BA8" s="13"/>
      <c r="BB8" s="266" t="s">
        <v>17</v>
      </c>
      <c r="BC8" s="15"/>
      <c r="BD8" s="269" t="s">
        <v>18</v>
      </c>
      <c r="BE8" s="13"/>
      <c r="BF8" s="266" t="s">
        <v>18</v>
      </c>
    </row>
    <row r="9" spans="2:58">
      <c r="B9" s="17"/>
      <c r="C9" s="17"/>
      <c r="D9" s="17"/>
      <c r="E9" s="17"/>
      <c r="F9" s="277"/>
      <c r="G9" s="15"/>
      <c r="H9" s="267">
        <v>2016</v>
      </c>
      <c r="I9" s="15"/>
      <c r="J9" s="267">
        <v>2016</v>
      </c>
      <c r="K9" s="13"/>
      <c r="L9" s="267">
        <v>2016</v>
      </c>
      <c r="M9" s="15"/>
      <c r="N9" s="267">
        <v>2016</v>
      </c>
      <c r="O9" s="13"/>
      <c r="P9" s="267">
        <v>2016</v>
      </c>
      <c r="Q9" s="15"/>
      <c r="R9" s="267">
        <v>2016</v>
      </c>
      <c r="S9" s="13"/>
      <c r="T9" s="277"/>
      <c r="U9" s="15"/>
      <c r="V9" s="267">
        <v>2017</v>
      </c>
      <c r="W9" s="15"/>
      <c r="X9" s="267">
        <v>2017</v>
      </c>
      <c r="Y9" s="13"/>
      <c r="Z9" s="267">
        <v>2017</v>
      </c>
      <c r="AA9" s="15"/>
      <c r="AB9" s="267">
        <v>2017</v>
      </c>
      <c r="AC9" s="13"/>
      <c r="AD9" s="267">
        <v>2017</v>
      </c>
      <c r="AE9" s="15"/>
      <c r="AF9" s="267">
        <v>2017</v>
      </c>
      <c r="AG9" s="13"/>
      <c r="AH9" s="277"/>
      <c r="AI9" s="15"/>
      <c r="AJ9" s="267">
        <v>2018</v>
      </c>
      <c r="AK9" s="15"/>
      <c r="AL9" s="267">
        <v>2018</v>
      </c>
      <c r="AM9" s="13"/>
      <c r="AN9" s="267">
        <v>2018</v>
      </c>
      <c r="AO9" s="15"/>
      <c r="AP9" s="267">
        <v>2018</v>
      </c>
      <c r="AQ9" s="13"/>
      <c r="AR9" s="267">
        <v>2018</v>
      </c>
      <c r="AS9" s="15"/>
      <c r="AT9" s="267">
        <v>2018</v>
      </c>
      <c r="AU9" s="13"/>
      <c r="AV9" s="277"/>
      <c r="AW9" s="15"/>
      <c r="AX9" s="267">
        <v>2019</v>
      </c>
      <c r="AY9" s="15"/>
      <c r="AZ9" s="267">
        <v>2019</v>
      </c>
      <c r="BA9" s="13"/>
      <c r="BB9" s="267">
        <v>2019</v>
      </c>
      <c r="BC9" s="15"/>
      <c r="BD9" s="267">
        <v>2019</v>
      </c>
      <c r="BE9" s="13"/>
      <c r="BF9" s="267">
        <v>2019</v>
      </c>
    </row>
    <row r="10" spans="2:58">
      <c r="B10" s="17" t="s">
        <v>23</v>
      </c>
      <c r="C10" s="18"/>
      <c r="D10" s="18"/>
      <c r="E10" s="18"/>
      <c r="F10" s="21"/>
      <c r="G10" s="3"/>
      <c r="H10" s="20"/>
      <c r="I10" s="3"/>
      <c r="J10" s="22"/>
      <c r="K10" s="3"/>
      <c r="L10" s="21"/>
      <c r="M10" s="3"/>
      <c r="N10" s="22"/>
      <c r="O10" s="3"/>
      <c r="P10" s="21"/>
      <c r="Q10" s="3"/>
      <c r="R10" s="22"/>
      <c r="S10" s="3"/>
      <c r="T10" s="21"/>
      <c r="U10" s="3"/>
      <c r="V10" s="20"/>
      <c r="W10" s="3"/>
      <c r="X10" s="22"/>
      <c r="Y10" s="3"/>
      <c r="Z10" s="21"/>
      <c r="AA10" s="3"/>
      <c r="AB10" s="22"/>
      <c r="AC10" s="3"/>
      <c r="AD10" s="21"/>
      <c r="AE10" s="3"/>
      <c r="AF10" s="22"/>
      <c r="AG10" s="3"/>
      <c r="AH10" s="21"/>
      <c r="AI10" s="3"/>
      <c r="AJ10" s="20"/>
      <c r="AK10" s="3"/>
      <c r="AL10" s="22"/>
      <c r="AM10" s="3"/>
      <c r="AN10" s="21"/>
      <c r="AO10" s="3"/>
      <c r="AP10" s="22"/>
      <c r="AQ10" s="3"/>
      <c r="AR10" s="21"/>
      <c r="AS10" s="3"/>
      <c r="AT10" s="22"/>
      <c r="AU10" s="3"/>
      <c r="AV10" s="21"/>
      <c r="AW10" s="3"/>
      <c r="AX10" s="20"/>
      <c r="AY10" s="3"/>
      <c r="AZ10" s="22"/>
      <c r="BA10" s="3"/>
      <c r="BB10" s="21"/>
      <c r="BC10" s="3"/>
      <c r="BD10" s="22"/>
      <c r="BE10" s="3"/>
      <c r="BF10" s="21"/>
    </row>
    <row r="11" spans="2:58">
      <c r="B11" s="23"/>
      <c r="C11" s="24" t="s">
        <v>24</v>
      </c>
      <c r="D11" s="25"/>
      <c r="E11" s="25"/>
      <c r="F11" s="30">
        <f>3996853+33859</f>
        <v>4030712</v>
      </c>
      <c r="G11" s="28"/>
      <c r="H11" s="27">
        <f>958366+11358</f>
        <v>969724</v>
      </c>
      <c r="I11" s="28"/>
      <c r="J11" s="29">
        <f>979605+12222</f>
        <v>991827</v>
      </c>
      <c r="K11" s="28"/>
      <c r="L11" s="30">
        <f>1937971+23580</f>
        <v>1961551</v>
      </c>
      <c r="M11" s="28"/>
      <c r="N11" s="29">
        <f>1009868+13006</f>
        <v>1022874</v>
      </c>
      <c r="O11" s="28"/>
      <c r="P11" s="30">
        <f>2947839+36586</f>
        <v>2984425</v>
      </c>
      <c r="Q11" s="28"/>
      <c r="R11" s="29">
        <v>1005799</v>
      </c>
      <c r="S11" s="28"/>
      <c r="T11" s="30">
        <v>3990224</v>
      </c>
      <c r="U11" s="28"/>
      <c r="V11" s="27">
        <v>936493</v>
      </c>
      <c r="W11" s="28"/>
      <c r="X11" s="29">
        <v>962506</v>
      </c>
      <c r="Y11" s="28"/>
      <c r="Z11" s="30">
        <v>1898999</v>
      </c>
      <c r="AA11" s="28"/>
      <c r="AB11" s="29">
        <v>962697</v>
      </c>
      <c r="AC11" s="28"/>
      <c r="AD11" s="30">
        <v>2861696</v>
      </c>
      <c r="AE11" s="28"/>
      <c r="AF11" s="29">
        <v>1028692</v>
      </c>
      <c r="AG11" s="28"/>
      <c r="AH11" s="30">
        <v>3890388</v>
      </c>
      <c r="AI11" s="28"/>
      <c r="AJ11" s="27">
        <v>941708</v>
      </c>
      <c r="AK11" s="28"/>
      <c r="AL11" s="29">
        <v>973543</v>
      </c>
      <c r="AM11" s="28"/>
      <c r="AN11" s="30">
        <v>1915250</v>
      </c>
      <c r="AO11" s="28"/>
      <c r="AP11" s="29">
        <v>1001067</v>
      </c>
      <c r="AQ11" s="28"/>
      <c r="AR11" s="30">
        <v>2916317</v>
      </c>
      <c r="AS11" s="28"/>
      <c r="AT11" s="29">
        <v>1050817</v>
      </c>
      <c r="AU11" s="28"/>
      <c r="AV11" s="30">
        <v>3967134</v>
      </c>
      <c r="AW11" s="28"/>
      <c r="AX11" s="27">
        <v>965753</v>
      </c>
      <c r="AY11" s="28"/>
      <c r="AZ11" s="29">
        <v>973424</v>
      </c>
      <c r="BA11" s="28"/>
      <c r="BB11" s="30">
        <v>1939177</v>
      </c>
      <c r="BC11" s="28"/>
      <c r="BD11" s="29">
        <v>1030773</v>
      </c>
      <c r="BE11" s="28"/>
      <c r="BF11" s="30">
        <v>2969950</v>
      </c>
    </row>
    <row r="12" spans="2:58">
      <c r="B12" s="19"/>
      <c r="C12" s="24" t="s">
        <v>25</v>
      </c>
      <c r="D12" s="24"/>
      <c r="E12" s="24"/>
      <c r="F12" s="36">
        <v>875184</v>
      </c>
      <c r="G12" s="3"/>
      <c r="H12" s="35">
        <v>217871</v>
      </c>
      <c r="I12" s="3"/>
      <c r="J12" s="34">
        <v>220586</v>
      </c>
      <c r="K12" s="33"/>
      <c r="L12" s="36">
        <v>438457</v>
      </c>
      <c r="M12" s="3"/>
      <c r="N12" s="34">
        <v>220755</v>
      </c>
      <c r="O12" s="33"/>
      <c r="P12" s="36">
        <v>659212</v>
      </c>
      <c r="Q12" s="3"/>
      <c r="R12" s="34">
        <v>222791</v>
      </c>
      <c r="S12" s="33"/>
      <c r="T12" s="36">
        <v>882003</v>
      </c>
      <c r="U12" s="3"/>
      <c r="V12" s="35">
        <v>228241</v>
      </c>
      <c r="W12" s="3"/>
      <c r="X12" s="34">
        <v>231244</v>
      </c>
      <c r="Y12" s="33"/>
      <c r="Z12" s="36">
        <v>459485</v>
      </c>
      <c r="AA12" s="3"/>
      <c r="AB12" s="34">
        <v>230060</v>
      </c>
      <c r="AC12" s="33"/>
      <c r="AD12" s="36">
        <v>689545</v>
      </c>
      <c r="AE12" s="3"/>
      <c r="AF12" s="34">
        <v>229177</v>
      </c>
      <c r="AG12" s="33"/>
      <c r="AH12" s="36">
        <v>918722</v>
      </c>
      <c r="AI12" s="3"/>
      <c r="AJ12" s="35">
        <v>230538</v>
      </c>
      <c r="AK12" s="3"/>
      <c r="AL12" s="34">
        <v>230098</v>
      </c>
      <c r="AM12" s="33"/>
      <c r="AN12" s="36">
        <v>460637</v>
      </c>
      <c r="AO12" s="3"/>
      <c r="AP12" s="34">
        <v>233952</v>
      </c>
      <c r="AQ12" s="33"/>
      <c r="AR12" s="36">
        <v>694589</v>
      </c>
      <c r="AS12" s="3"/>
      <c r="AT12" s="34">
        <v>232482</v>
      </c>
      <c r="AU12" s="33"/>
      <c r="AV12" s="36">
        <v>927070</v>
      </c>
      <c r="AW12" s="3"/>
      <c r="AX12" s="35">
        <v>230253</v>
      </c>
      <c r="AY12" s="3"/>
      <c r="AZ12" s="34">
        <v>233465</v>
      </c>
      <c r="BA12" s="33"/>
      <c r="BB12" s="36">
        <v>463719</v>
      </c>
      <c r="BC12" s="3"/>
      <c r="BD12" s="34">
        <v>231377</v>
      </c>
      <c r="BE12" s="33"/>
      <c r="BF12" s="36">
        <v>695096</v>
      </c>
    </row>
    <row r="13" spans="2:58">
      <c r="B13" s="19"/>
      <c r="C13" s="24" t="s">
        <v>26</v>
      </c>
      <c r="D13" s="24"/>
      <c r="E13" s="24"/>
      <c r="F13" s="36">
        <v>304204</v>
      </c>
      <c r="G13" s="3"/>
      <c r="H13" s="35">
        <v>66549</v>
      </c>
      <c r="I13" s="3"/>
      <c r="J13" s="34">
        <v>82662</v>
      </c>
      <c r="K13" s="33"/>
      <c r="L13" s="36">
        <v>149212</v>
      </c>
      <c r="M13" s="3"/>
      <c r="N13" s="34">
        <v>70084</v>
      </c>
      <c r="O13" s="33"/>
      <c r="P13" s="36">
        <v>219296</v>
      </c>
      <c r="Q13" s="3"/>
      <c r="R13" s="34">
        <v>64063</v>
      </c>
      <c r="S13" s="33"/>
      <c r="T13" s="36">
        <v>283359</v>
      </c>
      <c r="U13" s="3"/>
      <c r="V13" s="35">
        <v>73346</v>
      </c>
      <c r="W13" s="3"/>
      <c r="X13" s="34">
        <v>53613</v>
      </c>
      <c r="Y13" s="33"/>
      <c r="Z13" s="36">
        <v>126959</v>
      </c>
      <c r="AA13" s="3"/>
      <c r="AB13" s="34">
        <v>57936</v>
      </c>
      <c r="AC13" s="33"/>
      <c r="AD13" s="36">
        <v>184895</v>
      </c>
      <c r="AE13" s="3"/>
      <c r="AF13" s="34">
        <v>50419</v>
      </c>
      <c r="AG13" s="33"/>
      <c r="AH13" s="36">
        <v>235315</v>
      </c>
      <c r="AI13" s="3"/>
      <c r="AJ13" s="35">
        <v>52980</v>
      </c>
      <c r="AK13" s="3"/>
      <c r="AL13" s="34">
        <v>51225</v>
      </c>
      <c r="AM13" s="33"/>
      <c r="AN13" s="36">
        <v>104204</v>
      </c>
      <c r="AO13" s="3"/>
      <c r="AP13" s="34">
        <v>61613</v>
      </c>
      <c r="AQ13" s="33"/>
      <c r="AR13" s="36">
        <v>165817</v>
      </c>
      <c r="AS13" s="3"/>
      <c r="AT13" s="34">
        <v>49144</v>
      </c>
      <c r="AU13" s="33"/>
      <c r="AV13" s="36">
        <v>214962</v>
      </c>
      <c r="AW13" s="3"/>
      <c r="AX13" s="35">
        <v>61193</v>
      </c>
      <c r="AY13" s="3"/>
      <c r="AZ13" s="34">
        <v>54242</v>
      </c>
      <c r="BA13" s="33"/>
      <c r="BB13" s="36">
        <v>115433</v>
      </c>
      <c r="BC13" s="3"/>
      <c r="BD13" s="34">
        <v>59097</v>
      </c>
      <c r="BE13" s="33"/>
      <c r="BF13" s="36">
        <v>174530</v>
      </c>
    </row>
    <row r="14" spans="2:58">
      <c r="B14" s="37"/>
      <c r="C14" s="38"/>
      <c r="D14" s="38"/>
      <c r="E14" s="39" t="s">
        <v>27</v>
      </c>
      <c r="F14" s="43">
        <f>SUM(F11:F13)</f>
        <v>5210100</v>
      </c>
      <c r="G14" s="32"/>
      <c r="H14" s="40">
        <f>SUM(H11:H13)</f>
        <v>1254144</v>
      </c>
      <c r="I14" s="44"/>
      <c r="J14" s="42">
        <f>SUM(J11:J13)</f>
        <v>1295075</v>
      </c>
      <c r="K14" s="32"/>
      <c r="L14" s="43">
        <f>SUM(L11:L13)</f>
        <v>2549220</v>
      </c>
      <c r="M14" s="44"/>
      <c r="N14" s="42">
        <f>SUM(N11:N13)</f>
        <v>1313713</v>
      </c>
      <c r="O14" s="32"/>
      <c r="P14" s="43">
        <f>SUM(P11:P13)</f>
        <v>3862933</v>
      </c>
      <c r="Q14" s="44"/>
      <c r="R14" s="42">
        <f>SUM(R11:R13)</f>
        <v>1292653</v>
      </c>
      <c r="S14" s="32"/>
      <c r="T14" s="43">
        <f>SUM(T11:T13)</f>
        <v>5155586</v>
      </c>
      <c r="U14" s="32"/>
      <c r="V14" s="40">
        <f>SUM(V11:V13)</f>
        <v>1238080</v>
      </c>
      <c r="W14" s="44"/>
      <c r="X14" s="42">
        <f>SUM(X11:X13)</f>
        <v>1247363</v>
      </c>
      <c r="Y14" s="32"/>
      <c r="Z14" s="43">
        <f>SUM(Z11:Z13)</f>
        <v>2485443</v>
      </c>
      <c r="AA14" s="44"/>
      <c r="AB14" s="42">
        <f>SUM(AB11:AB13)</f>
        <v>1250693</v>
      </c>
      <c r="AC14" s="32"/>
      <c r="AD14" s="43">
        <f>SUM(AD11:AD13)</f>
        <v>3736136</v>
      </c>
      <c r="AE14" s="44"/>
      <c r="AF14" s="42">
        <f>SUM(AF11:AF13)</f>
        <v>1308288</v>
      </c>
      <c r="AG14" s="32"/>
      <c r="AH14" s="43">
        <f>SUM(AH11:AH13)</f>
        <v>5044425</v>
      </c>
      <c r="AI14" s="32"/>
      <c r="AJ14" s="40">
        <f>SUM(AJ11:AJ13)</f>
        <v>1225226</v>
      </c>
      <c r="AK14" s="44"/>
      <c r="AL14" s="42">
        <f>SUM(AL11:AL13)</f>
        <v>1254866</v>
      </c>
      <c r="AM14" s="32"/>
      <c r="AN14" s="43">
        <f>SUM(AN11:AN13)</f>
        <v>2480091</v>
      </c>
      <c r="AO14" s="44"/>
      <c r="AP14" s="42">
        <f>SUM(AP11:AP13)</f>
        <v>1296632</v>
      </c>
      <c r="AQ14" s="32"/>
      <c r="AR14" s="43">
        <f>SUM(AR11:AR13)</f>
        <v>3776723</v>
      </c>
      <c r="AS14" s="44"/>
      <c r="AT14" s="42">
        <f>SUM(AT11:AT13)</f>
        <v>1332443</v>
      </c>
      <c r="AU14" s="32"/>
      <c r="AV14" s="43">
        <f>SUM(AV11:AV13)</f>
        <v>5109166</v>
      </c>
      <c r="AW14" s="32"/>
      <c r="AX14" s="40">
        <f>SUM(AX11:AX13)</f>
        <v>1257199</v>
      </c>
      <c r="AY14" s="44"/>
      <c r="AZ14" s="42">
        <f>SUM(AZ11:AZ13)</f>
        <v>1261131</v>
      </c>
      <c r="BA14" s="32"/>
      <c r="BB14" s="43">
        <f>SUM(BB11:BB13)</f>
        <v>2518329</v>
      </c>
      <c r="BC14" s="44"/>
      <c r="BD14" s="42">
        <f>SUM(BD11:BD13)</f>
        <v>1321247</v>
      </c>
      <c r="BE14" s="32"/>
      <c r="BF14" s="43">
        <f>SUM(BF11:BF13)</f>
        <v>3839576</v>
      </c>
    </row>
    <row r="15" spans="2:58">
      <c r="B15" s="19"/>
      <c r="C15" s="18"/>
      <c r="D15" s="18"/>
      <c r="E15" s="18"/>
      <c r="F15" s="36"/>
      <c r="G15" s="3"/>
      <c r="H15" s="35"/>
      <c r="I15" s="3"/>
      <c r="J15" s="34"/>
      <c r="K15" s="33"/>
      <c r="L15" s="36"/>
      <c r="M15" s="3"/>
      <c r="N15" s="34"/>
      <c r="O15" s="33"/>
      <c r="P15" s="36"/>
      <c r="Q15" s="3"/>
      <c r="R15" s="34"/>
      <c r="S15" s="33"/>
      <c r="T15" s="36"/>
      <c r="U15" s="3"/>
      <c r="V15" s="35"/>
      <c r="W15" s="3"/>
      <c r="X15" s="34"/>
      <c r="Y15" s="33"/>
      <c r="Z15" s="36"/>
      <c r="AA15" s="3"/>
      <c r="AB15" s="34"/>
      <c r="AC15" s="33"/>
      <c r="AD15" s="36"/>
      <c r="AE15" s="3"/>
      <c r="AF15" s="34"/>
      <c r="AG15" s="33"/>
      <c r="AH15" s="36"/>
      <c r="AI15" s="3"/>
      <c r="AJ15" s="35"/>
      <c r="AK15" s="3"/>
      <c r="AL15" s="34"/>
      <c r="AM15" s="33"/>
      <c r="AN15" s="36"/>
      <c r="AO15" s="3"/>
      <c r="AP15" s="34"/>
      <c r="AQ15" s="33"/>
      <c r="AR15" s="36"/>
      <c r="AS15" s="3"/>
      <c r="AT15" s="34"/>
      <c r="AU15" s="33"/>
      <c r="AV15" s="36"/>
      <c r="AW15" s="3"/>
      <c r="AX15" s="35"/>
      <c r="AY15" s="3"/>
      <c r="AZ15" s="34"/>
      <c r="BA15" s="33"/>
      <c r="BB15" s="36"/>
      <c r="BC15" s="3"/>
      <c r="BD15" s="34"/>
      <c r="BE15" s="33"/>
      <c r="BF15" s="36"/>
    </row>
    <row r="16" spans="2:58">
      <c r="B16" s="45" t="s">
        <v>28</v>
      </c>
      <c r="C16" s="18"/>
      <c r="D16" s="18"/>
      <c r="E16" s="18"/>
      <c r="F16" s="36"/>
      <c r="G16" s="3"/>
      <c r="H16" s="35"/>
      <c r="I16" s="3"/>
      <c r="J16" s="34"/>
      <c r="K16" s="33"/>
      <c r="L16" s="36"/>
      <c r="M16" s="3"/>
      <c r="N16" s="34"/>
      <c r="O16" s="33"/>
      <c r="P16" s="36"/>
      <c r="Q16" s="3"/>
      <c r="R16" s="34"/>
      <c r="S16" s="33"/>
      <c r="T16" s="36"/>
      <c r="U16" s="3"/>
      <c r="V16" s="35"/>
      <c r="W16" s="3"/>
      <c r="X16" s="34"/>
      <c r="Y16" s="33"/>
      <c r="Z16" s="36"/>
      <c r="AA16" s="3"/>
      <c r="AB16" s="34"/>
      <c r="AC16" s="33"/>
      <c r="AD16" s="36"/>
      <c r="AE16" s="3"/>
      <c r="AF16" s="34"/>
      <c r="AG16" s="33"/>
      <c r="AH16" s="36"/>
      <c r="AI16" s="3"/>
      <c r="AJ16" s="35"/>
      <c r="AK16" s="3"/>
      <c r="AL16" s="34"/>
      <c r="AM16" s="33"/>
      <c r="AN16" s="36"/>
      <c r="AO16" s="3"/>
      <c r="AP16" s="34"/>
      <c r="AQ16" s="33"/>
      <c r="AR16" s="36"/>
      <c r="AS16" s="3"/>
      <c r="AT16" s="34"/>
      <c r="AU16" s="33"/>
      <c r="AV16" s="36"/>
      <c r="AW16" s="3"/>
      <c r="AX16" s="35"/>
      <c r="AY16" s="3"/>
      <c r="AZ16" s="34"/>
      <c r="BA16" s="33"/>
      <c r="BB16" s="36"/>
      <c r="BC16" s="3"/>
      <c r="BD16" s="34"/>
      <c r="BE16" s="33"/>
      <c r="BF16" s="36"/>
    </row>
    <row r="17" spans="2:58">
      <c r="B17" s="19"/>
      <c r="C17" s="24" t="s">
        <v>29</v>
      </c>
      <c r="D17" s="24"/>
      <c r="E17" s="24"/>
      <c r="F17" s="36"/>
      <c r="G17" s="3"/>
      <c r="H17" s="35"/>
      <c r="I17" s="3"/>
      <c r="J17" s="34"/>
      <c r="K17" s="33"/>
      <c r="L17" s="36"/>
      <c r="M17" s="3"/>
      <c r="N17" s="34"/>
      <c r="O17" s="33"/>
      <c r="P17" s="36"/>
      <c r="Q17" s="3"/>
      <c r="R17" s="34"/>
      <c r="S17" s="33"/>
      <c r="T17" s="36"/>
      <c r="U17" s="3"/>
      <c r="V17" s="35"/>
      <c r="W17" s="3"/>
      <c r="X17" s="34"/>
      <c r="Y17" s="33"/>
      <c r="Z17" s="36"/>
      <c r="AA17" s="3"/>
      <c r="AB17" s="34"/>
      <c r="AC17" s="33"/>
      <c r="AD17" s="36"/>
      <c r="AE17" s="3"/>
      <c r="AF17" s="34"/>
      <c r="AG17" s="33"/>
      <c r="AH17" s="36"/>
      <c r="AI17" s="3"/>
      <c r="AJ17" s="35"/>
      <c r="AK17" s="3"/>
      <c r="AL17" s="34"/>
      <c r="AM17" s="33"/>
      <c r="AN17" s="36"/>
      <c r="AO17" s="3"/>
      <c r="AP17" s="34"/>
      <c r="AQ17" s="33"/>
      <c r="AR17" s="36"/>
      <c r="AS17" s="3"/>
      <c r="AT17" s="34"/>
      <c r="AU17" s="33"/>
      <c r="AV17" s="36"/>
      <c r="AW17" s="3"/>
      <c r="AX17" s="35"/>
      <c r="AY17" s="3"/>
      <c r="AZ17" s="34"/>
      <c r="BA17" s="33"/>
      <c r="BB17" s="36"/>
      <c r="BC17" s="3"/>
      <c r="BD17" s="34"/>
      <c r="BE17" s="33"/>
      <c r="BF17" s="36"/>
    </row>
    <row r="18" spans="2:58">
      <c r="B18" s="19"/>
      <c r="C18" s="18"/>
      <c r="D18" s="46" t="s">
        <v>30</v>
      </c>
      <c r="E18" s="47"/>
      <c r="F18" s="36">
        <v>3321582</v>
      </c>
      <c r="G18" s="3"/>
      <c r="H18" s="35">
        <v>801447</v>
      </c>
      <c r="I18" s="3"/>
      <c r="J18" s="34">
        <v>812306</v>
      </c>
      <c r="K18" s="33"/>
      <c r="L18" s="36">
        <v>1613753</v>
      </c>
      <c r="M18" s="3"/>
      <c r="N18" s="34">
        <v>845924</v>
      </c>
      <c r="O18" s="33"/>
      <c r="P18" s="36">
        <v>2459677</v>
      </c>
      <c r="Q18" s="3"/>
      <c r="R18" s="34">
        <v>860747</v>
      </c>
      <c r="S18" s="33"/>
      <c r="T18" s="36">
        <v>3320424</v>
      </c>
      <c r="U18" s="3"/>
      <c r="V18" s="35">
        <v>742985</v>
      </c>
      <c r="W18" s="3"/>
      <c r="X18" s="34">
        <v>799565</v>
      </c>
      <c r="Y18" s="33"/>
      <c r="Z18" s="36">
        <v>1542550</v>
      </c>
      <c r="AA18" s="3"/>
      <c r="AB18" s="34">
        <v>795957</v>
      </c>
      <c r="AC18" s="33"/>
      <c r="AD18" s="36">
        <v>2338507</v>
      </c>
      <c r="AE18" s="3"/>
      <c r="AF18" s="34">
        <v>876648</v>
      </c>
      <c r="AG18" s="33"/>
      <c r="AH18" s="36">
        <v>3215154</v>
      </c>
      <c r="AI18" s="3"/>
      <c r="AJ18" s="35">
        <v>723571</v>
      </c>
      <c r="AK18" s="3"/>
      <c r="AL18" s="34">
        <v>768587</v>
      </c>
      <c r="AM18" s="33"/>
      <c r="AN18" s="36">
        <v>1492157</v>
      </c>
      <c r="AO18" s="3"/>
      <c r="AP18" s="34">
        <v>804536</v>
      </c>
      <c r="AQ18" s="33"/>
      <c r="AR18" s="36">
        <v>2296693</v>
      </c>
      <c r="AS18" s="3"/>
      <c r="AT18" s="34">
        <v>880707</v>
      </c>
      <c r="AU18" s="33"/>
      <c r="AV18" s="36">
        <v>3177400</v>
      </c>
      <c r="AW18" s="3"/>
      <c r="AX18" s="35">
        <v>734998</v>
      </c>
      <c r="AY18" s="3"/>
      <c r="AZ18" s="34">
        <v>761155</v>
      </c>
      <c r="BA18" s="33"/>
      <c r="BB18" s="36">
        <v>1496153</v>
      </c>
      <c r="BC18" s="3"/>
      <c r="BD18" s="34">
        <v>823092</v>
      </c>
      <c r="BE18" s="33"/>
      <c r="BF18" s="36">
        <v>2319245</v>
      </c>
    </row>
    <row r="19" spans="2:58">
      <c r="B19" s="19"/>
      <c r="C19" s="18"/>
      <c r="D19" s="46" t="s">
        <v>31</v>
      </c>
      <c r="E19" s="18"/>
      <c r="F19" s="36">
        <v>606455</v>
      </c>
      <c r="G19" s="3"/>
      <c r="H19" s="35">
        <v>152510</v>
      </c>
      <c r="I19" s="3"/>
      <c r="J19" s="34">
        <v>154150</v>
      </c>
      <c r="K19" s="33"/>
      <c r="L19" s="36">
        <v>306660</v>
      </c>
      <c r="M19" s="3"/>
      <c r="N19" s="34">
        <v>155504</v>
      </c>
      <c r="O19" s="33"/>
      <c r="P19" s="36">
        <v>462165</v>
      </c>
      <c r="Q19" s="3"/>
      <c r="R19" s="34">
        <v>155925</v>
      </c>
      <c r="S19" s="33"/>
      <c r="T19" s="36">
        <v>618091</v>
      </c>
      <c r="U19" s="3"/>
      <c r="V19" s="35">
        <v>153387</v>
      </c>
      <c r="W19" s="3"/>
      <c r="X19" s="34">
        <v>154398</v>
      </c>
      <c r="Y19" s="33"/>
      <c r="Z19" s="36">
        <v>307784</v>
      </c>
      <c r="AA19" s="3"/>
      <c r="AB19" s="34">
        <v>152774</v>
      </c>
      <c r="AC19" s="33"/>
      <c r="AD19" s="36">
        <v>460558</v>
      </c>
      <c r="AE19" s="3"/>
      <c r="AF19" s="34">
        <v>155090</v>
      </c>
      <c r="AG19" s="33"/>
      <c r="AH19" s="36">
        <v>615649</v>
      </c>
      <c r="AI19" s="3"/>
      <c r="AJ19" s="35">
        <v>158680</v>
      </c>
      <c r="AK19" s="3"/>
      <c r="AL19" s="34">
        <v>159110</v>
      </c>
      <c r="AM19" s="33"/>
      <c r="AN19" s="36">
        <v>317791</v>
      </c>
      <c r="AO19" s="3"/>
      <c r="AP19" s="34">
        <v>159562</v>
      </c>
      <c r="AQ19" s="33"/>
      <c r="AR19" s="36">
        <v>477352</v>
      </c>
      <c r="AS19" s="3"/>
      <c r="AT19" s="34">
        <v>162155</v>
      </c>
      <c r="AU19" s="33"/>
      <c r="AV19" s="36">
        <v>639509</v>
      </c>
      <c r="AW19" s="3"/>
      <c r="AX19" s="35">
        <v>167950</v>
      </c>
      <c r="AY19" s="3"/>
      <c r="AZ19" s="34">
        <v>176557</v>
      </c>
      <c r="BA19" s="33"/>
      <c r="BB19" s="36">
        <v>344507</v>
      </c>
      <c r="BC19" s="3"/>
      <c r="BD19" s="34">
        <v>180141</v>
      </c>
      <c r="BE19" s="33"/>
      <c r="BF19" s="36">
        <v>524648</v>
      </c>
    </row>
    <row r="20" spans="2:58">
      <c r="B20" s="19"/>
      <c r="C20" s="18"/>
      <c r="D20" s="46" t="s">
        <v>32</v>
      </c>
      <c r="E20" s="18"/>
      <c r="F20" s="36">
        <v>0</v>
      </c>
      <c r="G20" s="3"/>
      <c r="H20" s="35">
        <v>0</v>
      </c>
      <c r="I20" s="3"/>
      <c r="J20" s="34">
        <v>0</v>
      </c>
      <c r="K20" s="33"/>
      <c r="L20" s="36">
        <v>0</v>
      </c>
      <c r="M20" s="3"/>
      <c r="N20" s="34">
        <v>0</v>
      </c>
      <c r="O20" s="33"/>
      <c r="P20" s="36">
        <v>0</v>
      </c>
      <c r="Q20" s="3"/>
      <c r="R20" s="34">
        <v>0</v>
      </c>
      <c r="S20" s="33"/>
      <c r="T20" s="36">
        <v>0</v>
      </c>
      <c r="U20" s="3"/>
      <c r="V20" s="35">
        <v>0</v>
      </c>
      <c r="W20" s="3"/>
      <c r="X20" s="34">
        <v>0</v>
      </c>
      <c r="Y20" s="33"/>
      <c r="Z20" s="36">
        <v>0</v>
      </c>
      <c r="AA20" s="3"/>
      <c r="AB20" s="34">
        <v>369596</v>
      </c>
      <c r="AC20" s="33"/>
      <c r="AD20" s="36">
        <v>369596</v>
      </c>
      <c r="AE20" s="3"/>
      <c r="AF20" s="34">
        <v>0</v>
      </c>
      <c r="AG20" s="33"/>
      <c r="AH20" s="36">
        <v>369596</v>
      </c>
      <c r="AI20" s="3"/>
      <c r="AJ20" s="35">
        <v>0</v>
      </c>
      <c r="AK20" s="3"/>
      <c r="AL20" s="34">
        <v>0</v>
      </c>
      <c r="AM20" s="33"/>
      <c r="AN20" s="36">
        <v>0</v>
      </c>
      <c r="AO20" s="3"/>
      <c r="AP20" s="34">
        <v>0</v>
      </c>
      <c r="AQ20" s="33"/>
      <c r="AR20" s="36">
        <v>0</v>
      </c>
      <c r="AS20" s="3"/>
      <c r="AT20" s="34">
        <v>0</v>
      </c>
      <c r="AU20" s="33"/>
      <c r="AV20" s="36">
        <v>0</v>
      </c>
      <c r="AW20" s="3"/>
      <c r="AX20" s="35">
        <v>0</v>
      </c>
      <c r="AY20" s="3"/>
      <c r="AZ20" s="34">
        <v>0</v>
      </c>
      <c r="BA20" s="33"/>
      <c r="BB20" s="36">
        <v>0</v>
      </c>
      <c r="BC20" s="3"/>
      <c r="BD20" s="34">
        <v>0</v>
      </c>
      <c r="BE20" s="33"/>
      <c r="BF20" s="36">
        <v>0</v>
      </c>
    </row>
    <row r="21" spans="2:58">
      <c r="B21" s="19"/>
      <c r="C21" s="18"/>
      <c r="D21" s="46" t="s">
        <v>33</v>
      </c>
      <c r="E21" s="18"/>
      <c r="F21" s="36">
        <v>16313</v>
      </c>
      <c r="G21" s="3"/>
      <c r="H21" s="35">
        <v>5059</v>
      </c>
      <c r="I21" s="3"/>
      <c r="J21" s="34">
        <v>4756</v>
      </c>
      <c r="K21" s="33"/>
      <c r="L21" s="36">
        <v>9815</v>
      </c>
      <c r="M21" s="3"/>
      <c r="N21" s="34">
        <v>6538</v>
      </c>
      <c r="O21" s="33"/>
      <c r="P21" s="36">
        <v>16353</v>
      </c>
      <c r="Q21" s="3"/>
      <c r="R21" s="34">
        <v>5769</v>
      </c>
      <c r="S21" s="33"/>
      <c r="T21" s="36">
        <v>22121</v>
      </c>
      <c r="U21" s="3"/>
      <c r="V21" s="35">
        <v>3623</v>
      </c>
      <c r="W21" s="3"/>
      <c r="X21" s="34">
        <v>5027</v>
      </c>
      <c r="Y21" s="33"/>
      <c r="Z21" s="36">
        <v>8650</v>
      </c>
      <c r="AA21" s="3"/>
      <c r="AB21" s="34">
        <v>4868</v>
      </c>
      <c r="AC21" s="33"/>
      <c r="AD21" s="36">
        <v>13518</v>
      </c>
      <c r="AE21" s="3"/>
      <c r="AF21" s="34">
        <v>3823</v>
      </c>
      <c r="AG21" s="33"/>
      <c r="AH21" s="36">
        <v>17341</v>
      </c>
      <c r="AI21" s="3"/>
      <c r="AJ21" s="35">
        <v>1362</v>
      </c>
      <c r="AK21" s="3"/>
      <c r="AL21" s="34">
        <v>812</v>
      </c>
      <c r="AM21" s="33"/>
      <c r="AN21" s="36">
        <v>2174</v>
      </c>
      <c r="AO21" s="3"/>
      <c r="AP21" s="34">
        <v>3135</v>
      </c>
      <c r="AQ21" s="33"/>
      <c r="AR21" s="36">
        <v>5309</v>
      </c>
      <c r="AS21" s="3"/>
      <c r="AT21" s="34">
        <v>5085</v>
      </c>
      <c r="AU21" s="33"/>
      <c r="AV21" s="36">
        <v>10393</v>
      </c>
      <c r="AW21" s="3"/>
      <c r="AX21" s="35">
        <v>2111</v>
      </c>
      <c r="AY21" s="3"/>
      <c r="AZ21" s="34">
        <v>5325</v>
      </c>
      <c r="BA21" s="33"/>
      <c r="BB21" s="36">
        <v>7436</v>
      </c>
      <c r="BC21" s="3"/>
      <c r="BD21" s="34">
        <v>5210</v>
      </c>
      <c r="BE21" s="33"/>
      <c r="BF21" s="36">
        <v>12646</v>
      </c>
    </row>
    <row r="22" spans="2:58">
      <c r="B22" s="19"/>
      <c r="C22" s="24"/>
      <c r="D22" s="46" t="s">
        <v>34</v>
      </c>
      <c r="E22" s="24"/>
      <c r="F22" s="36">
        <v>-113555</v>
      </c>
      <c r="G22" s="3"/>
      <c r="H22" s="35">
        <v>-124</v>
      </c>
      <c r="I22" s="3"/>
      <c r="J22" s="34">
        <v>0</v>
      </c>
      <c r="K22" s="33"/>
      <c r="L22" s="36">
        <v>-124</v>
      </c>
      <c r="M22" s="3"/>
      <c r="N22" s="34">
        <v>0</v>
      </c>
      <c r="O22" s="33"/>
      <c r="P22" s="36">
        <v>-124</v>
      </c>
      <c r="Q22" s="3"/>
      <c r="R22" s="34">
        <v>-50</v>
      </c>
      <c r="S22" s="33"/>
      <c r="T22" s="36">
        <v>-174</v>
      </c>
      <c r="U22" s="3"/>
      <c r="V22" s="35">
        <v>0</v>
      </c>
      <c r="W22" s="3"/>
      <c r="X22" s="34">
        <v>0</v>
      </c>
      <c r="Y22" s="33"/>
      <c r="Z22" s="36">
        <v>0</v>
      </c>
      <c r="AA22" s="3"/>
      <c r="AB22" s="34">
        <v>-735</v>
      </c>
      <c r="AC22" s="33"/>
      <c r="AD22" s="36">
        <v>-735</v>
      </c>
      <c r="AE22" s="3"/>
      <c r="AF22" s="34">
        <v>0</v>
      </c>
      <c r="AG22" s="33"/>
      <c r="AH22" s="36">
        <v>-735</v>
      </c>
      <c r="AI22" s="3"/>
      <c r="AJ22" s="35">
        <v>0</v>
      </c>
      <c r="AK22" s="3"/>
      <c r="AL22" s="34">
        <v>0</v>
      </c>
      <c r="AM22" s="33"/>
      <c r="AN22" s="36">
        <v>0</v>
      </c>
      <c r="AO22" s="3"/>
      <c r="AP22" s="34">
        <v>0</v>
      </c>
      <c r="AQ22" s="33"/>
      <c r="AR22" s="36">
        <v>0</v>
      </c>
      <c r="AS22" s="3"/>
      <c r="AT22" s="34">
        <v>0</v>
      </c>
      <c r="AU22" s="33"/>
      <c r="AV22" s="36">
        <v>0</v>
      </c>
      <c r="AW22" s="3"/>
      <c r="AX22" s="35">
        <v>-1671</v>
      </c>
      <c r="AY22" s="3"/>
      <c r="AZ22" s="34">
        <v>-18</v>
      </c>
      <c r="BA22" s="33"/>
      <c r="BB22" s="36">
        <v>-1690</v>
      </c>
      <c r="BC22" s="3"/>
      <c r="BD22" s="34">
        <v>226</v>
      </c>
      <c r="BE22" s="33"/>
      <c r="BF22" s="36">
        <v>-1464</v>
      </c>
    </row>
    <row r="23" spans="2:58">
      <c r="B23" s="19"/>
      <c r="C23" s="18"/>
      <c r="D23" s="46" t="s">
        <v>35</v>
      </c>
      <c r="E23" s="18"/>
      <c r="F23" s="36">
        <v>-146884</v>
      </c>
      <c r="G23" s="3"/>
      <c r="H23" s="35">
        <v>0</v>
      </c>
      <c r="I23" s="3"/>
      <c r="J23" s="34">
        <v>-9149</v>
      </c>
      <c r="K23" s="33"/>
      <c r="L23" s="36">
        <v>-9149</v>
      </c>
      <c r="M23" s="3"/>
      <c r="N23" s="34">
        <v>-7119</v>
      </c>
      <c r="O23" s="33"/>
      <c r="P23" s="36">
        <v>-16269</v>
      </c>
      <c r="Q23" s="3"/>
      <c r="R23" s="34">
        <v>-2701</v>
      </c>
      <c r="S23" s="33"/>
      <c r="T23" s="36">
        <v>-18970</v>
      </c>
      <c r="U23" s="3"/>
      <c r="V23" s="35">
        <v>-17063</v>
      </c>
      <c r="W23" s="3"/>
      <c r="X23" s="34">
        <v>-1745</v>
      </c>
      <c r="Y23" s="33"/>
      <c r="Z23" s="36">
        <v>-18807</v>
      </c>
      <c r="AA23" s="3"/>
      <c r="AB23" s="34">
        <v>-11</v>
      </c>
      <c r="AC23" s="33"/>
      <c r="AD23" s="36">
        <v>-18818</v>
      </c>
      <c r="AE23" s="3"/>
      <c r="AF23" s="34">
        <v>-3361</v>
      </c>
      <c r="AG23" s="33"/>
      <c r="AH23" s="36">
        <v>-22179</v>
      </c>
      <c r="AI23" s="3"/>
      <c r="AJ23" s="35">
        <v>-6737</v>
      </c>
      <c r="AK23" s="3"/>
      <c r="AL23" s="34">
        <v>-10637</v>
      </c>
      <c r="AM23" s="33"/>
      <c r="AN23" s="36">
        <v>-17374</v>
      </c>
      <c r="AO23" s="3"/>
      <c r="AP23" s="34">
        <v>-408</v>
      </c>
      <c r="AQ23" s="33"/>
      <c r="AR23" s="36">
        <v>-17782</v>
      </c>
      <c r="AS23" s="3"/>
      <c r="AT23" s="34">
        <v>0</v>
      </c>
      <c r="AU23" s="33"/>
      <c r="AV23" s="36">
        <v>-17782</v>
      </c>
      <c r="AW23" s="3"/>
      <c r="AX23" s="35">
        <v>-2100</v>
      </c>
      <c r="AY23" s="3"/>
      <c r="AZ23" s="34">
        <v>12</v>
      </c>
      <c r="BA23" s="33"/>
      <c r="BB23" s="36">
        <v>-2087</v>
      </c>
      <c r="BC23" s="3"/>
      <c r="BD23" s="34">
        <v>1709</v>
      </c>
      <c r="BE23" s="33"/>
      <c r="BF23" s="36">
        <v>-378</v>
      </c>
    </row>
    <row r="24" spans="2:58">
      <c r="B24" s="19"/>
      <c r="C24" s="24"/>
      <c r="D24" s="24"/>
      <c r="E24" s="24"/>
      <c r="F24" s="43">
        <f>SUM(F18:F23)</f>
        <v>3683911</v>
      </c>
      <c r="G24" s="32"/>
      <c r="H24" s="40">
        <f>SUM(H18:H23)</f>
        <v>958892</v>
      </c>
      <c r="I24" s="41"/>
      <c r="J24" s="42">
        <f>SUM(J18:J23)</f>
        <v>962063</v>
      </c>
      <c r="K24" s="32"/>
      <c r="L24" s="43">
        <f>SUM(L18:L23)</f>
        <v>1920955</v>
      </c>
      <c r="M24" s="41"/>
      <c r="N24" s="42">
        <f>SUM(N18:N23)</f>
        <v>1000847</v>
      </c>
      <c r="O24" s="32"/>
      <c r="P24" s="43">
        <f>SUM(P18:P23)</f>
        <v>2921802</v>
      </c>
      <c r="Q24" s="41"/>
      <c r="R24" s="42">
        <f>SUM(R18:R23)</f>
        <v>1019690</v>
      </c>
      <c r="S24" s="32"/>
      <c r="T24" s="43">
        <f>SUM(T18:T23)</f>
        <v>3941492</v>
      </c>
      <c r="U24" s="32"/>
      <c r="V24" s="40">
        <f>SUM(V18:V23)</f>
        <v>882932</v>
      </c>
      <c r="W24" s="41"/>
      <c r="X24" s="42">
        <f>SUM(X18:X23)</f>
        <v>957245</v>
      </c>
      <c r="Y24" s="32"/>
      <c r="Z24" s="43">
        <f>SUM(Z18:Z23)</f>
        <v>1840177</v>
      </c>
      <c r="AA24" s="41"/>
      <c r="AB24" s="42">
        <f>SUM(AB18:AB23)</f>
        <v>1322449</v>
      </c>
      <c r="AC24" s="32"/>
      <c r="AD24" s="43">
        <f>SUM(AD18:AD23)</f>
        <v>3162626</v>
      </c>
      <c r="AE24" s="41"/>
      <c r="AF24" s="42">
        <f>SUM(AF18:AF23)</f>
        <v>1032200</v>
      </c>
      <c r="AG24" s="32"/>
      <c r="AH24" s="43">
        <f>SUM(AH18:AH23)</f>
        <v>4194826</v>
      </c>
      <c r="AI24" s="32"/>
      <c r="AJ24" s="40">
        <f>SUM(AJ18:AJ23)</f>
        <v>876876</v>
      </c>
      <c r="AK24" s="41"/>
      <c r="AL24" s="42">
        <f>SUM(AL18:AL23)</f>
        <v>917872</v>
      </c>
      <c r="AM24" s="32"/>
      <c r="AN24" s="43">
        <f>SUM(AN18:AN23)</f>
        <v>1794748</v>
      </c>
      <c r="AO24" s="41"/>
      <c r="AP24" s="42">
        <f>SUM(AP18:AP23)</f>
        <v>966825</v>
      </c>
      <c r="AQ24" s="32"/>
      <c r="AR24" s="43">
        <f>SUM(AR18:AR23)</f>
        <v>2761572</v>
      </c>
      <c r="AS24" s="41"/>
      <c r="AT24" s="42">
        <f>SUM(AT18:AT23)</f>
        <v>1047947</v>
      </c>
      <c r="AU24" s="32"/>
      <c r="AV24" s="43">
        <f>SUM(AV18:AV23)</f>
        <v>3809520</v>
      </c>
      <c r="AW24" s="32"/>
      <c r="AX24" s="40">
        <f>SUM(AX18:AX23)</f>
        <v>901288</v>
      </c>
      <c r="AY24" s="41"/>
      <c r="AZ24" s="42">
        <f>SUM(AZ18:AZ23)</f>
        <v>943031</v>
      </c>
      <c r="BA24" s="32"/>
      <c r="BB24" s="43">
        <f>SUM(BB18:BB23)</f>
        <v>1844319</v>
      </c>
      <c r="BC24" s="41"/>
      <c r="BD24" s="42">
        <f>SUM(BD18:BD23)</f>
        <v>1010378</v>
      </c>
      <c r="BE24" s="32"/>
      <c r="BF24" s="43">
        <f>SUM(BF18:BF23)</f>
        <v>2854697</v>
      </c>
    </row>
    <row r="25" spans="2:58">
      <c r="B25" s="19"/>
      <c r="C25" s="24" t="s">
        <v>25</v>
      </c>
      <c r="D25" s="24"/>
      <c r="E25" s="24"/>
      <c r="F25" s="36"/>
      <c r="G25" s="3"/>
      <c r="H25" s="35"/>
      <c r="I25" s="3"/>
      <c r="J25" s="34"/>
      <c r="K25" s="33"/>
      <c r="L25" s="36">
        <v>0</v>
      </c>
      <c r="M25" s="3"/>
      <c r="N25" s="34"/>
      <c r="O25" s="33"/>
      <c r="P25" s="36">
        <v>0</v>
      </c>
      <c r="Q25" s="3"/>
      <c r="R25" s="34"/>
      <c r="S25" s="33"/>
      <c r="T25" s="36">
        <v>0</v>
      </c>
      <c r="U25" s="3"/>
      <c r="V25" s="35"/>
      <c r="W25" s="3"/>
      <c r="X25" s="34"/>
      <c r="Y25" s="33"/>
      <c r="Z25" s="36">
        <v>0</v>
      </c>
      <c r="AA25" s="3"/>
      <c r="AB25" s="34"/>
      <c r="AC25" s="33"/>
      <c r="AD25" s="36"/>
      <c r="AE25" s="3"/>
      <c r="AF25" s="34"/>
      <c r="AG25" s="33"/>
      <c r="AH25" s="36">
        <v>0</v>
      </c>
      <c r="AI25" s="3"/>
      <c r="AJ25" s="35"/>
      <c r="AK25" s="3"/>
      <c r="AL25" s="34"/>
      <c r="AM25" s="33"/>
      <c r="AN25" s="36">
        <v>0</v>
      </c>
      <c r="AO25" s="3"/>
      <c r="AP25" s="34"/>
      <c r="AQ25" s="33"/>
      <c r="AR25" s="36">
        <v>0</v>
      </c>
      <c r="AS25" s="3"/>
      <c r="AT25" s="34"/>
      <c r="AU25" s="33"/>
      <c r="AV25" s="36">
        <v>0</v>
      </c>
      <c r="AW25" s="3"/>
      <c r="AX25" s="35"/>
      <c r="AY25" s="3"/>
      <c r="AZ25" s="34"/>
      <c r="BA25" s="33"/>
      <c r="BB25" s="36">
        <v>0</v>
      </c>
      <c r="BC25" s="3"/>
      <c r="BD25" s="34"/>
      <c r="BE25" s="33"/>
      <c r="BF25" s="36">
        <v>0</v>
      </c>
    </row>
    <row r="26" spans="2:58">
      <c r="B26" s="48"/>
      <c r="C26" s="18"/>
      <c r="D26" s="46" t="s">
        <v>30</v>
      </c>
      <c r="E26" s="46"/>
      <c r="F26" s="36">
        <v>586736</v>
      </c>
      <c r="G26" s="3"/>
      <c r="H26" s="35">
        <v>145857</v>
      </c>
      <c r="I26" s="3"/>
      <c r="J26" s="34">
        <v>149696</v>
      </c>
      <c r="K26" s="33"/>
      <c r="L26" s="36">
        <v>295553</v>
      </c>
      <c r="M26" s="3"/>
      <c r="N26" s="34">
        <v>154121</v>
      </c>
      <c r="O26" s="33"/>
      <c r="P26" s="36">
        <v>449675</v>
      </c>
      <c r="Q26" s="3"/>
      <c r="R26" s="34">
        <v>154079</v>
      </c>
      <c r="S26" s="33"/>
      <c r="T26" s="36">
        <v>603754</v>
      </c>
      <c r="U26" s="3"/>
      <c r="V26" s="35">
        <v>148174</v>
      </c>
      <c r="W26" s="3"/>
      <c r="X26" s="34">
        <v>151639</v>
      </c>
      <c r="Y26" s="33"/>
      <c r="Z26" s="36">
        <v>299813</v>
      </c>
      <c r="AA26" s="3"/>
      <c r="AB26" s="34">
        <v>153506</v>
      </c>
      <c r="AC26" s="33"/>
      <c r="AD26" s="36">
        <v>453320</v>
      </c>
      <c r="AE26" s="3"/>
      <c r="AF26" s="34">
        <v>150983</v>
      </c>
      <c r="AG26" s="33"/>
      <c r="AH26" s="36">
        <v>604302</v>
      </c>
      <c r="AI26" s="3"/>
      <c r="AJ26" s="35">
        <v>150934</v>
      </c>
      <c r="AK26" s="3"/>
      <c r="AL26" s="34">
        <v>157519</v>
      </c>
      <c r="AM26" s="33"/>
      <c r="AN26" s="36">
        <v>308454</v>
      </c>
      <c r="AO26" s="3"/>
      <c r="AP26" s="34">
        <v>157169</v>
      </c>
      <c r="AQ26" s="33"/>
      <c r="AR26" s="36">
        <v>465622</v>
      </c>
      <c r="AS26" s="3"/>
      <c r="AT26" s="34">
        <v>158566</v>
      </c>
      <c r="AU26" s="33"/>
      <c r="AV26" s="36">
        <v>624188</v>
      </c>
      <c r="AW26" s="3"/>
      <c r="AX26" s="35">
        <v>149952</v>
      </c>
      <c r="AY26" s="3"/>
      <c r="AZ26" s="34">
        <v>155096</v>
      </c>
      <c r="BA26" s="33"/>
      <c r="BB26" s="36">
        <v>305048</v>
      </c>
      <c r="BC26" s="3"/>
      <c r="BD26" s="34">
        <v>161952</v>
      </c>
      <c r="BE26" s="33"/>
      <c r="BF26" s="36">
        <v>467000</v>
      </c>
    </row>
    <row r="27" spans="2:58">
      <c r="B27" s="19"/>
      <c r="C27" s="24"/>
      <c r="D27" s="46" t="s">
        <v>31</v>
      </c>
      <c r="E27" s="24"/>
      <c r="F27" s="36">
        <v>201112</v>
      </c>
      <c r="G27" s="3"/>
      <c r="H27" s="35">
        <v>50743</v>
      </c>
      <c r="I27" s="3"/>
      <c r="J27" s="34">
        <v>46196</v>
      </c>
      <c r="K27" s="33"/>
      <c r="L27" s="36">
        <v>96939</v>
      </c>
      <c r="M27" s="3"/>
      <c r="N27" s="34">
        <v>49644</v>
      </c>
      <c r="O27" s="33"/>
      <c r="P27" s="36">
        <v>146582</v>
      </c>
      <c r="Q27" s="3"/>
      <c r="R27" s="34">
        <v>49033</v>
      </c>
      <c r="S27" s="33"/>
      <c r="T27" s="36">
        <v>195615</v>
      </c>
      <c r="U27" s="3"/>
      <c r="V27" s="35">
        <v>49095</v>
      </c>
      <c r="W27" s="3"/>
      <c r="X27" s="34">
        <v>48136</v>
      </c>
      <c r="Y27" s="33"/>
      <c r="Z27" s="36">
        <v>97231</v>
      </c>
      <c r="AA27" s="3"/>
      <c r="AB27" s="34">
        <v>48646</v>
      </c>
      <c r="AC27" s="33"/>
      <c r="AD27" s="36">
        <v>145876</v>
      </c>
      <c r="AE27" s="3"/>
      <c r="AF27" s="34">
        <v>48849</v>
      </c>
      <c r="AG27" s="33"/>
      <c r="AH27" s="36">
        <v>194726</v>
      </c>
      <c r="AI27" s="3"/>
      <c r="AJ27" s="35">
        <v>54130</v>
      </c>
      <c r="AK27" s="3"/>
      <c r="AL27" s="34">
        <v>53329</v>
      </c>
      <c r="AM27" s="33"/>
      <c r="AN27" s="36">
        <v>107459</v>
      </c>
      <c r="AO27" s="3"/>
      <c r="AP27" s="34">
        <v>52572</v>
      </c>
      <c r="AQ27" s="33"/>
      <c r="AR27" s="36">
        <v>160032</v>
      </c>
      <c r="AS27" s="3"/>
      <c r="AT27" s="34">
        <v>51762</v>
      </c>
      <c r="AU27" s="33"/>
      <c r="AV27" s="36">
        <v>211794</v>
      </c>
      <c r="AW27" s="3"/>
      <c r="AX27" s="35">
        <v>50449</v>
      </c>
      <c r="AY27" s="3"/>
      <c r="AZ27" s="34">
        <v>49757</v>
      </c>
      <c r="BA27" s="33"/>
      <c r="BB27" s="36">
        <v>100206</v>
      </c>
      <c r="BC27" s="3"/>
      <c r="BD27" s="34">
        <v>49605</v>
      </c>
      <c r="BE27" s="33"/>
      <c r="BF27" s="36">
        <v>149811</v>
      </c>
    </row>
    <row r="28" spans="2:58">
      <c r="B28" s="19"/>
      <c r="C28" s="24"/>
      <c r="D28" s="46" t="s">
        <v>32</v>
      </c>
      <c r="E28" s="24"/>
      <c r="F28" s="36">
        <v>0</v>
      </c>
      <c r="G28" s="3"/>
      <c r="H28" s="35">
        <v>0</v>
      </c>
      <c r="I28" s="3"/>
      <c r="J28" s="34">
        <v>0</v>
      </c>
      <c r="K28" s="33"/>
      <c r="L28" s="36">
        <v>0</v>
      </c>
      <c r="M28" s="3"/>
      <c r="N28" s="34">
        <v>0</v>
      </c>
      <c r="O28" s="33"/>
      <c r="P28" s="36">
        <v>0</v>
      </c>
      <c r="Q28" s="3"/>
      <c r="R28" s="34">
        <v>0</v>
      </c>
      <c r="S28" s="33"/>
      <c r="T28" s="36">
        <v>0</v>
      </c>
      <c r="U28" s="3"/>
      <c r="V28" s="35">
        <v>0</v>
      </c>
      <c r="W28" s="3"/>
      <c r="X28" s="34">
        <v>0</v>
      </c>
      <c r="Y28" s="33"/>
      <c r="Z28" s="36">
        <v>0</v>
      </c>
      <c r="AA28" s="3"/>
      <c r="AB28" s="34">
        <v>0</v>
      </c>
      <c r="AC28" s="33"/>
      <c r="AD28" s="36">
        <v>0</v>
      </c>
      <c r="AE28" s="3"/>
      <c r="AF28" s="34">
        <v>0</v>
      </c>
      <c r="AG28" s="33"/>
      <c r="AH28" s="36">
        <v>0</v>
      </c>
      <c r="AI28" s="3"/>
      <c r="AJ28" s="35">
        <v>0</v>
      </c>
      <c r="AK28" s="3"/>
      <c r="AL28" s="34">
        <v>0</v>
      </c>
      <c r="AM28" s="33"/>
      <c r="AN28" s="36">
        <v>0</v>
      </c>
      <c r="AO28" s="3"/>
      <c r="AP28" s="34">
        <v>0</v>
      </c>
      <c r="AQ28" s="33"/>
      <c r="AR28" s="36">
        <v>0</v>
      </c>
      <c r="AS28" s="3"/>
      <c r="AT28" s="34">
        <v>0</v>
      </c>
      <c r="AU28" s="33"/>
      <c r="AV28" s="36">
        <v>0</v>
      </c>
      <c r="AW28" s="3"/>
      <c r="AX28" s="35">
        <v>0</v>
      </c>
      <c r="AY28" s="3"/>
      <c r="AZ28" s="34">
        <v>0</v>
      </c>
      <c r="BA28" s="33"/>
      <c r="BB28" s="36">
        <v>0</v>
      </c>
      <c r="BC28" s="3"/>
      <c r="BD28" s="34">
        <v>0</v>
      </c>
      <c r="BE28" s="33"/>
      <c r="BF28" s="36">
        <v>0</v>
      </c>
    </row>
    <row r="29" spans="2:58">
      <c r="B29" s="19"/>
      <c r="C29" s="24"/>
      <c r="D29" s="46" t="s">
        <v>33</v>
      </c>
      <c r="E29" s="24"/>
      <c r="F29" s="36">
        <v>5785</v>
      </c>
      <c r="G29" s="3"/>
      <c r="H29" s="35">
        <v>957</v>
      </c>
      <c r="I29" s="3"/>
      <c r="J29" s="34">
        <v>969</v>
      </c>
      <c r="K29" s="33"/>
      <c r="L29" s="36">
        <v>1926</v>
      </c>
      <c r="M29" s="3"/>
      <c r="N29" s="34">
        <v>1527</v>
      </c>
      <c r="O29" s="33"/>
      <c r="P29" s="36">
        <v>3453</v>
      </c>
      <c r="Q29" s="3"/>
      <c r="R29" s="34">
        <v>857</v>
      </c>
      <c r="S29" s="33"/>
      <c r="T29" s="36">
        <v>4310</v>
      </c>
      <c r="U29" s="3"/>
      <c r="V29" s="35">
        <v>707</v>
      </c>
      <c r="W29" s="3"/>
      <c r="X29" s="34">
        <v>685</v>
      </c>
      <c r="Y29" s="33"/>
      <c r="Z29" s="36">
        <v>1392</v>
      </c>
      <c r="AA29" s="3"/>
      <c r="AB29" s="34">
        <v>745</v>
      </c>
      <c r="AC29" s="33"/>
      <c r="AD29" s="36">
        <v>2137</v>
      </c>
      <c r="AE29" s="3"/>
      <c r="AF29" s="34">
        <v>1336</v>
      </c>
      <c r="AG29" s="33"/>
      <c r="AH29" s="36">
        <v>3473</v>
      </c>
      <c r="AI29" s="3"/>
      <c r="AJ29" s="35">
        <v>344</v>
      </c>
      <c r="AK29" s="3"/>
      <c r="AL29" s="34">
        <v>935</v>
      </c>
      <c r="AM29" s="33"/>
      <c r="AN29" s="36">
        <v>1279</v>
      </c>
      <c r="AO29" s="3"/>
      <c r="AP29" s="34">
        <v>-3290</v>
      </c>
      <c r="AQ29" s="33"/>
      <c r="AR29" s="36">
        <v>-2011</v>
      </c>
      <c r="AS29" s="3"/>
      <c r="AT29" s="34">
        <v>179</v>
      </c>
      <c r="AU29" s="33"/>
      <c r="AV29" s="36">
        <v>-1832</v>
      </c>
      <c r="AW29" s="3"/>
      <c r="AX29" s="35">
        <v>-7044</v>
      </c>
      <c r="AY29" s="3"/>
      <c r="AZ29" s="34">
        <v>-687</v>
      </c>
      <c r="BA29" s="33"/>
      <c r="BB29" s="36">
        <v>-7731</v>
      </c>
      <c r="BC29" s="3"/>
      <c r="BD29" s="34">
        <v>237</v>
      </c>
      <c r="BE29" s="33"/>
      <c r="BF29" s="36">
        <v>-7494</v>
      </c>
    </row>
    <row r="30" spans="2:58">
      <c r="B30" s="19"/>
      <c r="C30" s="24"/>
      <c r="D30" s="46" t="s">
        <v>34</v>
      </c>
      <c r="E30" s="24"/>
      <c r="F30" s="36">
        <v>-9531</v>
      </c>
      <c r="G30" s="3"/>
      <c r="H30" s="35">
        <v>0</v>
      </c>
      <c r="I30" s="3"/>
      <c r="J30" s="34">
        <v>1</v>
      </c>
      <c r="K30" s="33"/>
      <c r="L30" s="36">
        <v>1</v>
      </c>
      <c r="M30" s="3"/>
      <c r="N30" s="34">
        <v>0</v>
      </c>
      <c r="O30" s="33"/>
      <c r="P30" s="36">
        <v>1</v>
      </c>
      <c r="Q30" s="3"/>
      <c r="R30" s="34">
        <v>0</v>
      </c>
      <c r="S30" s="33"/>
      <c r="T30" s="36">
        <v>1</v>
      </c>
      <c r="U30" s="3"/>
      <c r="V30" s="35">
        <v>0</v>
      </c>
      <c r="W30" s="3"/>
      <c r="X30" s="34">
        <v>0</v>
      </c>
      <c r="Y30" s="33"/>
      <c r="Z30" s="36">
        <v>0</v>
      </c>
      <c r="AA30" s="3"/>
      <c r="AB30" s="34">
        <v>0</v>
      </c>
      <c r="AC30" s="33"/>
      <c r="AD30" s="36">
        <v>0</v>
      </c>
      <c r="AE30" s="3"/>
      <c r="AF30" s="34">
        <v>0</v>
      </c>
      <c r="AG30" s="33"/>
      <c r="AH30" s="36">
        <v>0</v>
      </c>
      <c r="AI30" s="3"/>
      <c r="AJ30" s="35">
        <v>0</v>
      </c>
      <c r="AK30" s="3"/>
      <c r="AL30" s="34">
        <v>0</v>
      </c>
      <c r="AM30" s="33"/>
      <c r="AN30" s="36">
        <v>0</v>
      </c>
      <c r="AO30" s="3"/>
      <c r="AP30" s="34">
        <v>0</v>
      </c>
      <c r="AQ30" s="33"/>
      <c r="AR30" s="36">
        <v>0</v>
      </c>
      <c r="AS30" s="3"/>
      <c r="AT30" s="34">
        <v>0</v>
      </c>
      <c r="AU30" s="33"/>
      <c r="AV30" s="36">
        <v>0</v>
      </c>
      <c r="AW30" s="3"/>
      <c r="AX30" s="35">
        <v>0</v>
      </c>
      <c r="AY30" s="3"/>
      <c r="AZ30" s="34">
        <v>0</v>
      </c>
      <c r="BA30" s="33"/>
      <c r="BB30" s="36">
        <v>0</v>
      </c>
      <c r="BC30" s="3"/>
      <c r="BD30" s="34">
        <v>0</v>
      </c>
      <c r="BE30" s="33"/>
      <c r="BF30" s="36">
        <v>0</v>
      </c>
    </row>
    <row r="31" spans="2:58">
      <c r="B31" s="19"/>
      <c r="C31" s="24"/>
      <c r="D31" s="46" t="s">
        <v>35</v>
      </c>
      <c r="E31" s="24"/>
      <c r="F31" s="36"/>
      <c r="G31" s="3"/>
      <c r="H31" s="35"/>
      <c r="I31" s="3"/>
      <c r="J31" s="34"/>
      <c r="K31" s="33"/>
      <c r="L31" s="36"/>
      <c r="M31" s="3"/>
      <c r="N31" s="34"/>
      <c r="O31" s="33"/>
      <c r="P31" s="36"/>
      <c r="Q31" s="3"/>
      <c r="R31" s="34">
        <v>-553</v>
      </c>
      <c r="S31" s="33"/>
      <c r="T31" s="36">
        <v>-553</v>
      </c>
      <c r="U31" s="3"/>
      <c r="V31" s="35">
        <v>0</v>
      </c>
      <c r="W31" s="3"/>
      <c r="X31" s="34"/>
      <c r="Y31" s="33"/>
      <c r="Z31" s="36"/>
      <c r="AA31" s="3"/>
      <c r="AB31" s="34">
        <v>0</v>
      </c>
      <c r="AC31" s="33"/>
      <c r="AD31" s="36">
        <v>0</v>
      </c>
      <c r="AE31" s="3"/>
      <c r="AF31" s="34">
        <v>0</v>
      </c>
      <c r="AG31" s="33"/>
      <c r="AH31" s="36">
        <v>0</v>
      </c>
      <c r="AI31" s="3"/>
      <c r="AJ31" s="35">
        <v>0</v>
      </c>
      <c r="AK31" s="3"/>
      <c r="AL31" s="34">
        <v>0</v>
      </c>
      <c r="AM31" s="33"/>
      <c r="AN31" s="36">
        <v>0</v>
      </c>
      <c r="AO31" s="3"/>
      <c r="AP31" s="34">
        <v>0</v>
      </c>
      <c r="AQ31" s="33"/>
      <c r="AR31" s="36">
        <v>0</v>
      </c>
      <c r="AS31" s="3"/>
      <c r="AT31" s="34">
        <v>0</v>
      </c>
      <c r="AU31" s="33"/>
      <c r="AV31" s="36">
        <v>0</v>
      </c>
      <c r="AW31" s="3"/>
      <c r="AX31" s="35">
        <v>0</v>
      </c>
      <c r="AY31" s="3"/>
      <c r="AZ31" s="34">
        <v>0</v>
      </c>
      <c r="BA31" s="33"/>
      <c r="BB31" s="36">
        <v>0</v>
      </c>
      <c r="BC31" s="3"/>
      <c r="BD31" s="34">
        <v>0</v>
      </c>
      <c r="BE31" s="33"/>
      <c r="BF31" s="36">
        <v>0</v>
      </c>
    </row>
    <row r="32" spans="2:58">
      <c r="B32" s="19"/>
      <c r="C32" s="24"/>
      <c r="D32" s="24"/>
      <c r="E32" s="24"/>
      <c r="F32" s="43">
        <f>SUM(F26:F31)</f>
        <v>784102</v>
      </c>
      <c r="G32" s="32"/>
      <c r="H32" s="40">
        <f>SUM(H26:H31)</f>
        <v>197557</v>
      </c>
      <c r="I32" s="3"/>
      <c r="J32" s="42">
        <f>SUM(J26:J31)</f>
        <v>196862</v>
      </c>
      <c r="K32" s="32"/>
      <c r="L32" s="43">
        <f>SUM(L26:L31)</f>
        <v>394419</v>
      </c>
      <c r="M32" s="3"/>
      <c r="N32" s="42">
        <f>SUM(N26:N31)</f>
        <v>205292</v>
      </c>
      <c r="O32" s="32"/>
      <c r="P32" s="43">
        <f>SUM(P26:P31)</f>
        <v>599711</v>
      </c>
      <c r="Q32" s="3"/>
      <c r="R32" s="42">
        <f>SUM(R26:R31)</f>
        <v>203416</v>
      </c>
      <c r="S32" s="32"/>
      <c r="T32" s="43">
        <f>SUM(T26:T31)</f>
        <v>803127</v>
      </c>
      <c r="U32" s="32"/>
      <c r="V32" s="40">
        <f>SUM(V26:V31)</f>
        <v>197976</v>
      </c>
      <c r="W32" s="3"/>
      <c r="X32" s="42">
        <f>SUM(X26:X31)</f>
        <v>200460</v>
      </c>
      <c r="Y32" s="32"/>
      <c r="Z32" s="43">
        <f>SUM(Z26:Z31)</f>
        <v>398436</v>
      </c>
      <c r="AA32" s="3"/>
      <c r="AB32" s="42">
        <f>SUM(AB26:AB31)</f>
        <v>202897</v>
      </c>
      <c r="AC32" s="32"/>
      <c r="AD32" s="43">
        <f>SUM(AD26:AD31)</f>
        <v>601333</v>
      </c>
      <c r="AE32" s="3"/>
      <c r="AF32" s="42">
        <f>SUM(AF26:AF31)</f>
        <v>201168</v>
      </c>
      <c r="AG32" s="32"/>
      <c r="AH32" s="43">
        <f>SUM(AH26:AH31)</f>
        <v>802501</v>
      </c>
      <c r="AI32" s="32"/>
      <c r="AJ32" s="40">
        <f>SUM(AJ26:AJ31)</f>
        <v>205408</v>
      </c>
      <c r="AK32" s="3"/>
      <c r="AL32" s="42">
        <f>SUM(AL26:AL31)</f>
        <v>211783</v>
      </c>
      <c r="AM32" s="32"/>
      <c r="AN32" s="43">
        <f>SUM(AN26:AN31)</f>
        <v>417192</v>
      </c>
      <c r="AO32" s="3"/>
      <c r="AP32" s="42">
        <f>SUM(AP26:AP31)</f>
        <v>206451</v>
      </c>
      <c r="AQ32" s="32"/>
      <c r="AR32" s="43">
        <f>SUM(AR26:AR31)</f>
        <v>623643</v>
      </c>
      <c r="AS32" s="3"/>
      <c r="AT32" s="42">
        <f>SUM(AT26:AT31)</f>
        <v>210507</v>
      </c>
      <c r="AU32" s="32"/>
      <c r="AV32" s="43">
        <f>SUM(AV26:AV31)</f>
        <v>834150</v>
      </c>
      <c r="AW32" s="32"/>
      <c r="AX32" s="40">
        <f>SUM(AX26:AX31)</f>
        <v>193357</v>
      </c>
      <c r="AY32" s="3"/>
      <c r="AZ32" s="42">
        <f>SUM(AZ26:AZ31)</f>
        <v>204166</v>
      </c>
      <c r="BA32" s="32"/>
      <c r="BB32" s="43">
        <f>SUM(BB26:BB31)</f>
        <v>397523</v>
      </c>
      <c r="BC32" s="3"/>
      <c r="BD32" s="42">
        <f>SUM(BD26:BD31)+1</f>
        <v>211795</v>
      </c>
      <c r="BE32" s="32"/>
      <c r="BF32" s="43">
        <f>SUM(BF26:BF31)+1</f>
        <v>609318</v>
      </c>
    </row>
    <row r="33" spans="2:58">
      <c r="B33" s="19"/>
      <c r="C33" s="24" t="s">
        <v>26</v>
      </c>
      <c r="D33" s="24"/>
      <c r="E33" s="24"/>
      <c r="F33" s="36"/>
      <c r="G33" s="3"/>
      <c r="H33" s="35"/>
      <c r="I33" s="3"/>
      <c r="J33" s="34"/>
      <c r="K33" s="33"/>
      <c r="L33" s="36"/>
      <c r="M33" s="3"/>
      <c r="N33" s="34"/>
      <c r="O33" s="33"/>
      <c r="P33" s="36"/>
      <c r="Q33" s="3"/>
      <c r="R33" s="34"/>
      <c r="S33" s="33"/>
      <c r="T33" s="36"/>
      <c r="U33" s="3"/>
      <c r="V33" s="35"/>
      <c r="W33" s="3"/>
      <c r="X33" s="34"/>
      <c r="Y33" s="33"/>
      <c r="Z33" s="36"/>
      <c r="AA33" s="3"/>
      <c r="AB33" s="34"/>
      <c r="AC33" s="33"/>
      <c r="AD33" s="36"/>
      <c r="AE33" s="3"/>
      <c r="AF33" s="34"/>
      <c r="AG33" s="33"/>
      <c r="AH33" s="36"/>
      <c r="AI33" s="3"/>
      <c r="AJ33" s="35"/>
      <c r="AK33" s="3"/>
      <c r="AL33" s="34"/>
      <c r="AM33" s="33"/>
      <c r="AN33" s="36"/>
      <c r="AO33" s="3"/>
      <c r="AP33" s="34"/>
      <c r="AQ33" s="33"/>
      <c r="AR33" s="36"/>
      <c r="AS33" s="3"/>
      <c r="AT33" s="34"/>
      <c r="AU33" s="33"/>
      <c r="AV33" s="36"/>
      <c r="AW33" s="3"/>
      <c r="AX33" s="35"/>
      <c r="AY33" s="3"/>
      <c r="AZ33" s="34"/>
      <c r="BA33" s="33"/>
      <c r="BB33" s="36"/>
      <c r="BC33" s="3"/>
      <c r="BD33" s="34"/>
      <c r="BE33" s="33"/>
      <c r="BF33" s="36"/>
    </row>
    <row r="34" spans="2:58">
      <c r="B34" s="19"/>
      <c r="C34" s="24"/>
      <c r="D34" s="46" t="s">
        <v>36</v>
      </c>
      <c r="E34" s="24"/>
      <c r="F34" s="36">
        <v>291495</v>
      </c>
      <c r="G34" s="3"/>
      <c r="H34" s="35">
        <v>62537</v>
      </c>
      <c r="I34" s="4"/>
      <c r="J34" s="34">
        <v>74421</v>
      </c>
      <c r="K34" s="33"/>
      <c r="L34" s="36">
        <v>136958</v>
      </c>
      <c r="M34" s="4"/>
      <c r="N34" s="34">
        <v>66910</v>
      </c>
      <c r="O34" s="33"/>
      <c r="P34" s="36">
        <v>203867</v>
      </c>
      <c r="Q34" s="4"/>
      <c r="R34" s="34">
        <v>62959</v>
      </c>
      <c r="S34" s="33"/>
      <c r="T34" s="36">
        <v>266826</v>
      </c>
      <c r="U34" s="3"/>
      <c r="V34" s="35">
        <v>67345</v>
      </c>
      <c r="W34" s="4"/>
      <c r="X34" s="34">
        <v>53858</v>
      </c>
      <c r="Y34" s="33"/>
      <c r="Z34" s="36">
        <v>121202</v>
      </c>
      <c r="AA34" s="4"/>
      <c r="AB34" s="34">
        <v>57938</v>
      </c>
      <c r="AC34" s="33"/>
      <c r="AD34" s="36">
        <v>179139</v>
      </c>
      <c r="AE34" s="4"/>
      <c r="AF34" s="34">
        <v>50221</v>
      </c>
      <c r="AG34" s="33"/>
      <c r="AH34" s="36">
        <v>229362</v>
      </c>
      <c r="AI34" s="3"/>
      <c r="AJ34" s="35">
        <v>54946</v>
      </c>
      <c r="AK34" s="4"/>
      <c r="AL34" s="34">
        <v>56583</v>
      </c>
      <c r="AM34" s="33"/>
      <c r="AN34" s="36">
        <v>111527</v>
      </c>
      <c r="AO34" s="4"/>
      <c r="AP34" s="34">
        <v>63991</v>
      </c>
      <c r="AQ34" s="33"/>
      <c r="AR34" s="36">
        <v>175518</v>
      </c>
      <c r="AS34" s="4"/>
      <c r="AT34" s="34">
        <v>53179</v>
      </c>
      <c r="AU34" s="33"/>
      <c r="AV34" s="36">
        <v>228696</v>
      </c>
      <c r="AW34" s="3"/>
      <c r="AX34" s="35">
        <v>60417</v>
      </c>
      <c r="AY34" s="4"/>
      <c r="AZ34" s="34">
        <v>58254</v>
      </c>
      <c r="BA34" s="33"/>
      <c r="BB34" s="36">
        <v>118670</v>
      </c>
      <c r="BC34" s="4"/>
      <c r="BD34" s="34">
        <v>62324</v>
      </c>
      <c r="BE34" s="33"/>
      <c r="BF34" s="36">
        <v>180994</v>
      </c>
    </row>
    <row r="35" spans="2:58">
      <c r="B35" s="19"/>
      <c r="C35" s="24"/>
      <c r="D35" s="46" t="s">
        <v>37</v>
      </c>
      <c r="E35" s="24"/>
      <c r="F35" s="36">
        <v>36796</v>
      </c>
      <c r="G35" s="3"/>
      <c r="H35" s="35">
        <v>9170</v>
      </c>
      <c r="I35" s="4"/>
      <c r="J35" s="34">
        <v>9176</v>
      </c>
      <c r="K35" s="33"/>
      <c r="L35" s="36">
        <v>18347</v>
      </c>
      <c r="M35" s="4"/>
      <c r="N35" s="34">
        <v>8870</v>
      </c>
      <c r="O35" s="33"/>
      <c r="P35" s="36">
        <v>27217</v>
      </c>
      <c r="Q35" s="4"/>
      <c r="R35" s="34">
        <v>8652</v>
      </c>
      <c r="S35" s="33"/>
      <c r="T35" s="36">
        <v>35869</v>
      </c>
      <c r="U35" s="3"/>
      <c r="V35" s="35">
        <v>8495</v>
      </c>
      <c r="W35" s="4"/>
      <c r="X35" s="34">
        <v>8463</v>
      </c>
      <c r="Y35" s="33"/>
      <c r="Z35" s="36">
        <v>16960</v>
      </c>
      <c r="AA35" s="4"/>
      <c r="AB35" s="34">
        <v>8514</v>
      </c>
      <c r="AC35" s="33"/>
      <c r="AD35" s="36">
        <v>25475</v>
      </c>
      <c r="AE35" s="4"/>
      <c r="AF35" s="34">
        <v>8582</v>
      </c>
      <c r="AG35" s="33"/>
      <c r="AH35" s="36">
        <v>34056</v>
      </c>
      <c r="AI35" s="3"/>
      <c r="AJ35" s="35">
        <v>8145</v>
      </c>
      <c r="AK35" s="4"/>
      <c r="AL35" s="34">
        <v>7955</v>
      </c>
      <c r="AM35" s="33"/>
      <c r="AN35" s="36">
        <v>16099</v>
      </c>
      <c r="AO35" s="4"/>
      <c r="AP35" s="34">
        <v>8005</v>
      </c>
      <c r="AQ35" s="33"/>
      <c r="AR35" s="36">
        <v>24106</v>
      </c>
      <c r="AS35" s="4"/>
      <c r="AT35" s="34">
        <v>7935</v>
      </c>
      <c r="AU35" s="33"/>
      <c r="AV35" s="36">
        <v>32039</v>
      </c>
      <c r="AW35" s="3"/>
      <c r="AX35" s="35">
        <v>7929</v>
      </c>
      <c r="AY35" s="4"/>
      <c r="AZ35" s="34">
        <v>7456</v>
      </c>
      <c r="BA35" s="33"/>
      <c r="BB35" s="36">
        <v>15385</v>
      </c>
      <c r="BC35" s="4"/>
      <c r="BD35" s="34">
        <v>7599</v>
      </c>
      <c r="BE35" s="33"/>
      <c r="BF35" s="36">
        <v>22985</v>
      </c>
    </row>
    <row r="36" spans="2:58">
      <c r="B36" s="19"/>
      <c r="C36" s="24"/>
      <c r="D36" s="46" t="s">
        <v>32</v>
      </c>
      <c r="E36" s="24"/>
      <c r="F36" s="36">
        <v>0</v>
      </c>
      <c r="G36" s="3"/>
      <c r="H36" s="35">
        <v>0</v>
      </c>
      <c r="I36" s="4"/>
      <c r="J36" s="34">
        <v>0</v>
      </c>
      <c r="K36" s="33"/>
      <c r="L36" s="36">
        <v>0</v>
      </c>
      <c r="M36" s="4"/>
      <c r="N36" s="34">
        <v>0</v>
      </c>
      <c r="O36" s="33"/>
      <c r="P36" s="36">
        <v>0</v>
      </c>
      <c r="Q36" s="4"/>
      <c r="R36" s="34">
        <v>0</v>
      </c>
      <c r="S36" s="33"/>
      <c r="T36" s="36">
        <v>0</v>
      </c>
      <c r="U36" s="3"/>
      <c r="V36" s="35">
        <v>0</v>
      </c>
      <c r="W36" s="4"/>
      <c r="X36" s="34">
        <v>0</v>
      </c>
      <c r="Y36" s="33"/>
      <c r="Z36" s="36">
        <v>0</v>
      </c>
      <c r="AA36" s="4"/>
      <c r="AB36" s="34">
        <v>-107914</v>
      </c>
      <c r="AC36" s="33"/>
      <c r="AD36" s="36">
        <v>-107914</v>
      </c>
      <c r="AE36" s="4"/>
      <c r="AF36" s="34">
        <v>0</v>
      </c>
      <c r="AG36" s="33"/>
      <c r="AH36" s="36">
        <v>-107914</v>
      </c>
      <c r="AI36" s="3"/>
      <c r="AJ36" s="35">
        <v>0</v>
      </c>
      <c r="AK36" s="4"/>
      <c r="AL36" s="34">
        <v>0</v>
      </c>
      <c r="AM36" s="33"/>
      <c r="AN36" s="36">
        <v>0</v>
      </c>
      <c r="AO36" s="4"/>
      <c r="AP36" s="34">
        <v>0</v>
      </c>
      <c r="AQ36" s="33"/>
      <c r="AR36" s="36">
        <v>0</v>
      </c>
      <c r="AS36" s="4"/>
      <c r="AT36" s="34">
        <v>0</v>
      </c>
      <c r="AU36" s="33"/>
      <c r="AV36" s="36">
        <v>0</v>
      </c>
      <c r="AW36" s="3"/>
      <c r="AX36" s="35">
        <v>0</v>
      </c>
      <c r="AY36" s="4"/>
      <c r="AZ36" s="34">
        <v>0</v>
      </c>
      <c r="BA36" s="33"/>
      <c r="BB36" s="36">
        <v>0</v>
      </c>
      <c r="BC36" s="4"/>
      <c r="BD36" s="34">
        <v>0</v>
      </c>
      <c r="BE36" s="33"/>
      <c r="BF36" s="36">
        <v>0</v>
      </c>
    </row>
    <row r="37" spans="2:58">
      <c r="B37" s="19"/>
      <c r="C37" s="24"/>
      <c r="D37" s="46" t="s">
        <v>38</v>
      </c>
      <c r="E37" s="24"/>
      <c r="F37" s="36">
        <v>77</v>
      </c>
      <c r="G37" s="3"/>
      <c r="H37" s="35">
        <v>-6</v>
      </c>
      <c r="I37" s="4"/>
      <c r="J37" s="34">
        <v>29</v>
      </c>
      <c r="K37" s="33"/>
      <c r="L37" s="36">
        <v>24</v>
      </c>
      <c r="M37" s="4"/>
      <c r="N37" s="34">
        <v>165</v>
      </c>
      <c r="O37" s="33"/>
      <c r="P37" s="36">
        <v>189</v>
      </c>
      <c r="Q37" s="4"/>
      <c r="R37" s="34">
        <v>35</v>
      </c>
      <c r="S37" s="33"/>
      <c r="T37" s="36">
        <v>225</v>
      </c>
      <c r="U37" s="3"/>
      <c r="V37" s="35">
        <v>3</v>
      </c>
      <c r="W37" s="4"/>
      <c r="X37" s="34">
        <v>10</v>
      </c>
      <c r="Y37" s="33"/>
      <c r="Z37" s="36">
        <v>12</v>
      </c>
      <c r="AA37" s="4"/>
      <c r="AB37" s="34">
        <v>43</v>
      </c>
      <c r="AC37" s="33"/>
      <c r="AD37" s="36">
        <v>55</v>
      </c>
      <c r="AE37" s="4"/>
      <c r="AF37" s="34">
        <v>-121</v>
      </c>
      <c r="AG37" s="33"/>
      <c r="AH37" s="36">
        <v>-66</v>
      </c>
      <c r="AI37" s="3"/>
      <c r="AJ37" s="35">
        <v>2</v>
      </c>
      <c r="AK37" s="4"/>
      <c r="AL37" s="34">
        <v>-2</v>
      </c>
      <c r="AM37" s="33"/>
      <c r="AN37" s="36">
        <v>0</v>
      </c>
      <c r="AO37" s="4"/>
      <c r="AP37" s="34">
        <v>15</v>
      </c>
      <c r="AQ37" s="33"/>
      <c r="AR37" s="36">
        <v>15</v>
      </c>
      <c r="AS37" s="4"/>
      <c r="AT37" s="34">
        <v>18</v>
      </c>
      <c r="AU37" s="33"/>
      <c r="AV37" s="36">
        <v>34</v>
      </c>
      <c r="AW37" s="3"/>
      <c r="AX37" s="35">
        <v>39</v>
      </c>
      <c r="AY37" s="4"/>
      <c r="AZ37" s="34">
        <v>-11</v>
      </c>
      <c r="BA37" s="33"/>
      <c r="BB37" s="36">
        <v>28</v>
      </c>
      <c r="BC37" s="4"/>
      <c r="BD37" s="34">
        <v>83</v>
      </c>
      <c r="BE37" s="33"/>
      <c r="BF37" s="36">
        <v>110</v>
      </c>
    </row>
    <row r="38" spans="2:58">
      <c r="B38" s="19"/>
      <c r="C38" s="24"/>
      <c r="D38" s="46" t="s">
        <v>34</v>
      </c>
      <c r="E38" s="24"/>
      <c r="F38" s="36">
        <v>-12801</v>
      </c>
      <c r="G38" s="3"/>
      <c r="H38" s="35">
        <v>-43</v>
      </c>
      <c r="I38" s="4"/>
      <c r="J38" s="34">
        <v>0</v>
      </c>
      <c r="K38" s="33"/>
      <c r="L38" s="36">
        <v>-44</v>
      </c>
      <c r="M38" s="4"/>
      <c r="N38" s="34">
        <v>-412</v>
      </c>
      <c r="O38" s="33"/>
      <c r="P38" s="36">
        <v>-456</v>
      </c>
      <c r="Q38" s="4"/>
      <c r="R38" s="34">
        <v>-15</v>
      </c>
      <c r="S38" s="33"/>
      <c r="T38" s="36">
        <v>-471</v>
      </c>
      <c r="U38" s="3"/>
      <c r="V38" s="35">
        <v>0</v>
      </c>
      <c r="W38" s="4"/>
      <c r="X38" s="34">
        <v>0</v>
      </c>
      <c r="Y38" s="33"/>
      <c r="Z38" s="36">
        <v>0</v>
      </c>
      <c r="AA38" s="4"/>
      <c r="AB38" s="34">
        <v>0</v>
      </c>
      <c r="AC38" s="33"/>
      <c r="AD38" s="36">
        <v>0</v>
      </c>
      <c r="AE38" s="4"/>
      <c r="AF38" s="34">
        <v>0</v>
      </c>
      <c r="AG38" s="33"/>
      <c r="AH38" s="36">
        <v>0</v>
      </c>
      <c r="AI38" s="3"/>
      <c r="AJ38" s="35">
        <v>0</v>
      </c>
      <c r="AK38" s="4"/>
      <c r="AL38" s="34">
        <v>0</v>
      </c>
      <c r="AM38" s="33"/>
      <c r="AN38" s="36">
        <v>0</v>
      </c>
      <c r="AO38" s="4"/>
      <c r="AP38" s="34">
        <v>0</v>
      </c>
      <c r="AQ38" s="33"/>
      <c r="AR38" s="36">
        <v>0</v>
      </c>
      <c r="AS38" s="4"/>
      <c r="AT38" s="34">
        <v>0</v>
      </c>
      <c r="AU38" s="33"/>
      <c r="AV38" s="36">
        <v>0</v>
      </c>
      <c r="AW38" s="3"/>
      <c r="AX38" s="35">
        <v>0</v>
      </c>
      <c r="AY38" s="4"/>
      <c r="AZ38" s="34">
        <v>0</v>
      </c>
      <c r="BA38" s="33"/>
      <c r="BB38" s="36">
        <v>0</v>
      </c>
      <c r="BC38" s="4"/>
      <c r="BD38" s="34">
        <v>0</v>
      </c>
      <c r="BE38" s="33"/>
      <c r="BF38" s="36">
        <v>0</v>
      </c>
    </row>
    <row r="39" spans="2:58">
      <c r="B39" s="19"/>
      <c r="C39" s="24"/>
      <c r="D39" s="24"/>
      <c r="E39" s="24"/>
      <c r="F39" s="43">
        <f>SUM(F34:F38)</f>
        <v>315567</v>
      </c>
      <c r="G39" s="32"/>
      <c r="H39" s="40">
        <f>SUM(H34:H38)</f>
        <v>71658</v>
      </c>
      <c r="I39" s="50"/>
      <c r="J39" s="42">
        <f>SUM(J34:J38)</f>
        <v>83626</v>
      </c>
      <c r="K39" s="32"/>
      <c r="L39" s="43">
        <f>SUM(L34:L38)</f>
        <v>155285</v>
      </c>
      <c r="M39" s="50"/>
      <c r="N39" s="42">
        <f>SUM(N34:N38)</f>
        <v>75533</v>
      </c>
      <c r="O39" s="32"/>
      <c r="P39" s="43">
        <f>SUM(P34:P38)</f>
        <v>230817</v>
      </c>
      <c r="Q39" s="50"/>
      <c r="R39" s="42">
        <f>SUM(R34:R38)</f>
        <v>71631</v>
      </c>
      <c r="S39" s="32"/>
      <c r="T39" s="43">
        <f>SUM(T34:T38)</f>
        <v>302449</v>
      </c>
      <c r="U39" s="32"/>
      <c r="V39" s="40">
        <f>SUM(V34:V38)</f>
        <v>75843</v>
      </c>
      <c r="W39" s="50"/>
      <c r="X39" s="42">
        <f>SUM(X34:X38)</f>
        <v>62331</v>
      </c>
      <c r="Y39" s="32"/>
      <c r="Z39" s="43">
        <f>SUM(Z34:Z38)</f>
        <v>138174</v>
      </c>
      <c r="AA39" s="50"/>
      <c r="AB39" s="42">
        <f>SUM(AB34:AB38)</f>
        <v>-41419</v>
      </c>
      <c r="AC39" s="32"/>
      <c r="AD39" s="43">
        <f>SUM(AD34:AD38)</f>
        <v>96755</v>
      </c>
      <c r="AE39" s="50"/>
      <c r="AF39" s="42">
        <f>SUM(AF34:AF38)</f>
        <v>58682</v>
      </c>
      <c r="AG39" s="32"/>
      <c r="AH39" s="43">
        <f>SUM(AH34:AH38)</f>
        <v>155438</v>
      </c>
      <c r="AI39" s="32"/>
      <c r="AJ39" s="40">
        <f>SUM(AJ34:AJ38)</f>
        <v>63093</v>
      </c>
      <c r="AK39" s="50"/>
      <c r="AL39" s="42">
        <f>SUM(AL34:AL38)</f>
        <v>64536</v>
      </c>
      <c r="AM39" s="32"/>
      <c r="AN39" s="43">
        <f>SUM(AN34:AN38)</f>
        <v>127626</v>
      </c>
      <c r="AO39" s="50"/>
      <c r="AP39" s="42">
        <f>SUM(AP34:AP38)</f>
        <v>72011</v>
      </c>
      <c r="AQ39" s="32"/>
      <c r="AR39" s="43">
        <f>SUM(AR34:AR38)</f>
        <v>199639</v>
      </c>
      <c r="AS39" s="50"/>
      <c r="AT39" s="42">
        <f>SUM(AT34:AT38)</f>
        <v>61132</v>
      </c>
      <c r="AU39" s="32"/>
      <c r="AV39" s="43">
        <f>SUM(AV34:AV38)</f>
        <v>260769</v>
      </c>
      <c r="AW39" s="32"/>
      <c r="AX39" s="40">
        <f>SUM(AX34:AX38)</f>
        <v>68385</v>
      </c>
      <c r="AY39" s="50"/>
      <c r="AZ39" s="42">
        <f>SUM(AZ34:AZ38)</f>
        <v>65699</v>
      </c>
      <c r="BA39" s="32"/>
      <c r="BB39" s="43">
        <f>SUM(BB34:BB38)</f>
        <v>134083</v>
      </c>
      <c r="BC39" s="50"/>
      <c r="BD39" s="42">
        <f>SUM(BD34:BD38)-1</f>
        <v>70005</v>
      </c>
      <c r="BE39" s="32"/>
      <c r="BF39" s="43">
        <f>SUM(BF34:BF38)-1</f>
        <v>204088</v>
      </c>
    </row>
    <row r="40" spans="2:58">
      <c r="B40" s="19"/>
      <c r="C40" s="24"/>
      <c r="D40" s="24"/>
      <c r="E40" s="24"/>
      <c r="F40" s="36"/>
      <c r="G40" s="3"/>
      <c r="H40" s="35"/>
      <c r="I40" s="3"/>
      <c r="J40" s="34"/>
      <c r="K40" s="33"/>
      <c r="L40" s="36"/>
      <c r="M40" s="3"/>
      <c r="N40" s="34"/>
      <c r="O40" s="33"/>
      <c r="P40" s="36"/>
      <c r="Q40" s="3"/>
      <c r="R40" s="34"/>
      <c r="S40" s="33"/>
      <c r="T40" s="36"/>
      <c r="U40" s="3"/>
      <c r="V40" s="35"/>
      <c r="W40" s="3"/>
      <c r="X40" s="34"/>
      <c r="Y40" s="33"/>
      <c r="Z40" s="36"/>
      <c r="AA40" s="3"/>
      <c r="AB40" s="34"/>
      <c r="AC40" s="33"/>
      <c r="AD40" s="36"/>
      <c r="AE40" s="3"/>
      <c r="AF40" s="34"/>
      <c r="AG40" s="33"/>
      <c r="AH40" s="36"/>
      <c r="AI40" s="3"/>
      <c r="AJ40" s="35"/>
      <c r="AK40" s="3"/>
      <c r="AL40" s="34"/>
      <c r="AM40" s="33"/>
      <c r="AN40" s="36"/>
      <c r="AO40" s="3"/>
      <c r="AP40" s="34"/>
      <c r="AQ40" s="33"/>
      <c r="AR40" s="36"/>
      <c r="AS40" s="3"/>
      <c r="AT40" s="34"/>
      <c r="AU40" s="33"/>
      <c r="AV40" s="36"/>
      <c r="AW40" s="3"/>
      <c r="AX40" s="35"/>
      <c r="AY40" s="3"/>
      <c r="AZ40" s="34"/>
      <c r="BA40" s="33"/>
      <c r="BB40" s="36"/>
      <c r="BC40" s="3"/>
      <c r="BD40" s="34"/>
      <c r="BE40" s="33"/>
      <c r="BF40" s="36"/>
    </row>
    <row r="41" spans="2:58">
      <c r="B41" s="51"/>
      <c r="C41" s="52"/>
      <c r="D41" s="52"/>
      <c r="E41" s="39" t="s">
        <v>39</v>
      </c>
      <c r="F41" s="54">
        <f>F24+F32+F39</f>
        <v>4783580</v>
      </c>
      <c r="G41" s="32"/>
      <c r="H41" s="31">
        <f>H24+H32+H39</f>
        <v>1228107</v>
      </c>
      <c r="I41" s="28"/>
      <c r="J41" s="53">
        <f>J24+J32+J39</f>
        <v>1242551</v>
      </c>
      <c r="K41" s="32"/>
      <c r="L41" s="54">
        <f>L24+L32+L39</f>
        <v>2470659</v>
      </c>
      <c r="M41" s="28"/>
      <c r="N41" s="53">
        <f>N24+N32+N39</f>
        <v>1281672</v>
      </c>
      <c r="O41" s="32"/>
      <c r="P41" s="54">
        <f>P24+P32+P39</f>
        <v>3752330</v>
      </c>
      <c r="Q41" s="28"/>
      <c r="R41" s="53">
        <f>R24+R32+R39</f>
        <v>1294737</v>
      </c>
      <c r="S41" s="32"/>
      <c r="T41" s="54">
        <f>T24+T32+T39</f>
        <v>5047068</v>
      </c>
      <c r="U41" s="32"/>
      <c r="V41" s="31">
        <f>V24+V32+V39</f>
        <v>1156751</v>
      </c>
      <c r="W41" s="28"/>
      <c r="X41" s="53">
        <f>X24+X32+X39</f>
        <v>1220036</v>
      </c>
      <c r="Y41" s="32"/>
      <c r="Z41" s="54">
        <f>Z24+Z32+Z39</f>
        <v>2376787</v>
      </c>
      <c r="AA41" s="28"/>
      <c r="AB41" s="53">
        <f>AB24+AB32+AB39</f>
        <v>1483927</v>
      </c>
      <c r="AC41" s="32"/>
      <c r="AD41" s="54">
        <f>AD24+AD32+AD39</f>
        <v>3860714</v>
      </c>
      <c r="AE41" s="28"/>
      <c r="AF41" s="53">
        <f>AF24+AF32+AF39</f>
        <v>1292050</v>
      </c>
      <c r="AG41" s="32"/>
      <c r="AH41" s="54">
        <f>AH24+AH32+AH39</f>
        <v>5152765</v>
      </c>
      <c r="AI41" s="32"/>
      <c r="AJ41" s="31">
        <f>AJ24+AJ32+AJ39</f>
        <v>1145377</v>
      </c>
      <c r="AK41" s="28"/>
      <c r="AL41" s="53">
        <f>AL24+AL32+AL39</f>
        <v>1194191</v>
      </c>
      <c r="AM41" s="32"/>
      <c r="AN41" s="54">
        <f>AN24+AN32+AN39</f>
        <v>2339566</v>
      </c>
      <c r="AO41" s="28"/>
      <c r="AP41" s="53">
        <f>AP24+AP32+AP39</f>
        <v>1245287</v>
      </c>
      <c r="AQ41" s="32"/>
      <c r="AR41" s="54">
        <f>AR24+AR32+AR39</f>
        <v>3584854</v>
      </c>
      <c r="AS41" s="28"/>
      <c r="AT41" s="53">
        <f>AT24+AT32+AT39</f>
        <v>1319586</v>
      </c>
      <c r="AU41" s="32"/>
      <c r="AV41" s="54">
        <f>AV24+AV32+AV39</f>
        <v>4904439</v>
      </c>
      <c r="AW41" s="32"/>
      <c r="AX41" s="31">
        <f>AX24+AX32+AX39</f>
        <v>1163030</v>
      </c>
      <c r="AY41" s="28"/>
      <c r="AZ41" s="53">
        <f>AZ24+AZ32+AZ39</f>
        <v>1212896</v>
      </c>
      <c r="BA41" s="32"/>
      <c r="BB41" s="54">
        <f>BB24+BB32+BB39</f>
        <v>2375925</v>
      </c>
      <c r="BC41" s="28"/>
      <c r="BD41" s="53">
        <f>BD24+BD32+BD39</f>
        <v>1292178</v>
      </c>
      <c r="BE41" s="32"/>
      <c r="BF41" s="54">
        <f>BF24+BF32+BF39</f>
        <v>3668103</v>
      </c>
    </row>
    <row r="42" spans="2:58">
      <c r="B42" s="55"/>
      <c r="C42" s="18"/>
      <c r="D42" s="18"/>
      <c r="E42" s="46"/>
      <c r="F42" s="36">
        <v>0</v>
      </c>
      <c r="G42" s="3"/>
      <c r="H42" s="35">
        <v>0</v>
      </c>
      <c r="I42" s="3"/>
      <c r="J42" s="34"/>
      <c r="K42" s="33"/>
      <c r="L42" s="36">
        <v>0</v>
      </c>
      <c r="M42" s="3"/>
      <c r="N42" s="34"/>
      <c r="O42" s="33"/>
      <c r="P42" s="36">
        <v>0</v>
      </c>
      <c r="Q42" s="3"/>
      <c r="R42" s="34"/>
      <c r="S42" s="33"/>
      <c r="T42" s="36">
        <v>0</v>
      </c>
      <c r="U42" s="3"/>
      <c r="V42" s="35">
        <v>0</v>
      </c>
      <c r="W42" s="3"/>
      <c r="X42" s="34"/>
      <c r="Y42" s="33"/>
      <c r="Z42" s="36">
        <v>0</v>
      </c>
      <c r="AA42" s="3"/>
      <c r="AB42" s="34"/>
      <c r="AC42" s="33"/>
      <c r="AD42" s="36"/>
      <c r="AE42" s="3"/>
      <c r="AF42" s="34"/>
      <c r="AG42" s="33"/>
      <c r="AH42" s="36"/>
      <c r="AI42" s="3"/>
      <c r="AJ42" s="35"/>
      <c r="AK42" s="3"/>
      <c r="AL42" s="34"/>
      <c r="AM42" s="33"/>
      <c r="AN42" s="36"/>
      <c r="AO42" s="3"/>
      <c r="AP42" s="34"/>
      <c r="AQ42" s="33"/>
      <c r="AR42" s="36"/>
      <c r="AS42" s="3"/>
      <c r="AT42" s="34"/>
      <c r="AU42" s="33"/>
      <c r="AV42" s="36"/>
      <c r="AW42" s="3"/>
      <c r="AX42" s="35"/>
      <c r="AY42" s="3"/>
      <c r="AZ42" s="34"/>
      <c r="BA42" s="33"/>
      <c r="BB42" s="36"/>
      <c r="BC42" s="3"/>
      <c r="BD42" s="34"/>
      <c r="BE42" s="33"/>
      <c r="BF42" s="36"/>
    </row>
    <row r="43" spans="2:58">
      <c r="B43" s="17" t="s">
        <v>40</v>
      </c>
      <c r="C43" s="18"/>
      <c r="D43" s="18"/>
      <c r="E43" s="18"/>
      <c r="F43" s="36"/>
      <c r="G43" s="3"/>
      <c r="H43" s="35"/>
      <c r="I43" s="3"/>
      <c r="J43" s="34"/>
      <c r="K43" s="33"/>
      <c r="L43" s="36"/>
      <c r="M43" s="3"/>
      <c r="N43" s="34"/>
      <c r="O43" s="33"/>
      <c r="P43" s="36"/>
      <c r="Q43" s="3"/>
      <c r="R43" s="34"/>
      <c r="S43" s="33"/>
      <c r="T43" s="36"/>
      <c r="U43" s="3"/>
      <c r="V43" s="35"/>
      <c r="W43" s="3"/>
      <c r="X43" s="34"/>
      <c r="Y43" s="33"/>
      <c r="Z43" s="36"/>
      <c r="AA43" s="3"/>
      <c r="AB43" s="34"/>
      <c r="AC43" s="33"/>
      <c r="AD43" s="36"/>
      <c r="AE43" s="3"/>
      <c r="AF43" s="34"/>
      <c r="AG43" s="33"/>
      <c r="AH43" s="36"/>
      <c r="AI43" s="3"/>
      <c r="AJ43" s="35"/>
      <c r="AK43" s="3"/>
      <c r="AL43" s="34"/>
      <c r="AM43" s="33"/>
      <c r="AN43" s="36"/>
      <c r="AO43" s="3"/>
      <c r="AP43" s="34"/>
      <c r="AQ43" s="33"/>
      <c r="AR43" s="36"/>
      <c r="AS43" s="3"/>
      <c r="AT43" s="34"/>
      <c r="AU43" s="33"/>
      <c r="AV43" s="36"/>
      <c r="AW43" s="3"/>
      <c r="AX43" s="35"/>
      <c r="AY43" s="3"/>
      <c r="AZ43" s="34"/>
      <c r="BA43" s="33"/>
      <c r="BB43" s="36"/>
      <c r="BC43" s="3"/>
      <c r="BD43" s="34"/>
      <c r="BE43" s="33"/>
      <c r="BF43" s="36"/>
    </row>
    <row r="44" spans="2:58">
      <c r="B44" s="19"/>
      <c r="C44" s="24" t="s">
        <v>29</v>
      </c>
      <c r="D44" s="24"/>
      <c r="E44" s="24"/>
      <c r="F44" s="54">
        <f>F11-F24</f>
        <v>346801</v>
      </c>
      <c r="G44" s="32"/>
      <c r="H44" s="31">
        <f>H11-H24</f>
        <v>10832</v>
      </c>
      <c r="I44" s="3"/>
      <c r="J44" s="53">
        <f>J11-J24</f>
        <v>29764</v>
      </c>
      <c r="K44" s="32"/>
      <c r="L44" s="54">
        <f>L11-L24</f>
        <v>40596</v>
      </c>
      <c r="M44" s="3"/>
      <c r="N44" s="53">
        <f>N11-N24</f>
        <v>22027</v>
      </c>
      <c r="O44" s="32"/>
      <c r="P44" s="54">
        <f>P11-P24</f>
        <v>62623</v>
      </c>
      <c r="Q44" s="3"/>
      <c r="R44" s="53">
        <f>R11-R24</f>
        <v>-13891</v>
      </c>
      <c r="S44" s="32"/>
      <c r="T44" s="54">
        <f>T11-T24</f>
        <v>48732</v>
      </c>
      <c r="U44" s="32"/>
      <c r="V44" s="31">
        <f>V11-V24</f>
        <v>53561</v>
      </c>
      <c r="W44" s="3"/>
      <c r="X44" s="53">
        <f>X11-X24</f>
        <v>5261</v>
      </c>
      <c r="Y44" s="32"/>
      <c r="Z44" s="54">
        <f>Z11-Z24</f>
        <v>58822</v>
      </c>
      <c r="AA44" s="3"/>
      <c r="AB44" s="53">
        <f>AB11-AB24</f>
        <v>-359752</v>
      </c>
      <c r="AC44" s="32"/>
      <c r="AD44" s="54">
        <f>AD11-AD24</f>
        <v>-300930</v>
      </c>
      <c r="AE44" s="3"/>
      <c r="AF44" s="53">
        <f>AF11-AF24</f>
        <v>-3508</v>
      </c>
      <c r="AG44" s="32"/>
      <c r="AH44" s="54">
        <f>AH11-AH24</f>
        <v>-304438</v>
      </c>
      <c r="AI44" s="32"/>
      <c r="AJ44" s="31">
        <f>AJ11-AJ24</f>
        <v>64832</v>
      </c>
      <c r="AK44" s="3"/>
      <c r="AL44" s="53">
        <f>AL11-AL24</f>
        <v>55671</v>
      </c>
      <c r="AM44" s="32"/>
      <c r="AN44" s="54">
        <f>AN11-AN24</f>
        <v>120502</v>
      </c>
      <c r="AO44" s="3"/>
      <c r="AP44" s="53">
        <f>AP11-AP24</f>
        <v>34242</v>
      </c>
      <c r="AQ44" s="32"/>
      <c r="AR44" s="54">
        <f>AR11-AR24</f>
        <v>154745</v>
      </c>
      <c r="AS44" s="3"/>
      <c r="AT44" s="53">
        <f>AT11-AT24</f>
        <v>2870</v>
      </c>
      <c r="AU44" s="32"/>
      <c r="AV44" s="54">
        <f>AV11-AV24</f>
        <v>157614</v>
      </c>
      <c r="AW44" s="32"/>
      <c r="AX44" s="31">
        <f>AX11-AX24</f>
        <v>64465</v>
      </c>
      <c r="AY44" s="3"/>
      <c r="AZ44" s="53">
        <f>AZ11-AZ24</f>
        <v>30393</v>
      </c>
      <c r="BA44" s="32"/>
      <c r="BB44" s="54">
        <f>BB11-BB24</f>
        <v>94858</v>
      </c>
      <c r="BC44" s="3"/>
      <c r="BD44" s="53">
        <f>BD11-BD24</f>
        <v>20395</v>
      </c>
      <c r="BE44" s="32"/>
      <c r="BF44" s="54">
        <f>BF11-BF24</f>
        <v>115253</v>
      </c>
    </row>
    <row r="45" spans="2:58">
      <c r="B45" s="19"/>
      <c r="C45" s="24" t="s">
        <v>25</v>
      </c>
      <c r="D45" s="24"/>
      <c r="E45" s="24"/>
      <c r="F45" s="54">
        <f>F12-F32</f>
        <v>91082</v>
      </c>
      <c r="G45" s="32"/>
      <c r="H45" s="31">
        <f>H12-H32</f>
        <v>20314</v>
      </c>
      <c r="I45" s="3"/>
      <c r="J45" s="53">
        <f>J12-J32</f>
        <v>23724</v>
      </c>
      <c r="K45" s="32"/>
      <c r="L45" s="54">
        <f>L12-L32</f>
        <v>44038</v>
      </c>
      <c r="M45" s="3"/>
      <c r="N45" s="53">
        <f>N12-N32</f>
        <v>15463</v>
      </c>
      <c r="O45" s="32"/>
      <c r="P45" s="54">
        <f>P12-P32</f>
        <v>59501</v>
      </c>
      <c r="Q45" s="3"/>
      <c r="R45" s="53">
        <f>R12-R32</f>
        <v>19375</v>
      </c>
      <c r="S45" s="32"/>
      <c r="T45" s="54">
        <f>T12-T32</f>
        <v>78876</v>
      </c>
      <c r="U45" s="32"/>
      <c r="V45" s="31">
        <f>V12-V32</f>
        <v>30265</v>
      </c>
      <c r="W45" s="3"/>
      <c r="X45" s="53">
        <f>X12-X32</f>
        <v>30784</v>
      </c>
      <c r="Y45" s="32"/>
      <c r="Z45" s="54">
        <f>Z12-Z32</f>
        <v>61049</v>
      </c>
      <c r="AA45" s="3"/>
      <c r="AB45" s="53">
        <f>AB12-AB32</f>
        <v>27163</v>
      </c>
      <c r="AC45" s="32"/>
      <c r="AD45" s="54">
        <f>AD12-AD32</f>
        <v>88212</v>
      </c>
      <c r="AE45" s="3"/>
      <c r="AF45" s="53">
        <f>AF12-AF32</f>
        <v>28009</v>
      </c>
      <c r="AG45" s="32"/>
      <c r="AH45" s="54">
        <f>AH12-AH32</f>
        <v>116221</v>
      </c>
      <c r="AI45" s="32"/>
      <c r="AJ45" s="31">
        <f>AJ12-AJ32</f>
        <v>25130</v>
      </c>
      <c r="AK45" s="3"/>
      <c r="AL45" s="53">
        <f>AL12-AL32</f>
        <v>18315</v>
      </c>
      <c r="AM45" s="32"/>
      <c r="AN45" s="54">
        <f>AN12-AN32</f>
        <v>43445</v>
      </c>
      <c r="AO45" s="3"/>
      <c r="AP45" s="53">
        <f>AP12-AP32</f>
        <v>27501</v>
      </c>
      <c r="AQ45" s="32"/>
      <c r="AR45" s="54">
        <f>AR12-AR32</f>
        <v>70946</v>
      </c>
      <c r="AS45" s="3"/>
      <c r="AT45" s="53">
        <f>AT12-AT32-1</f>
        <v>21974</v>
      </c>
      <c r="AU45" s="32"/>
      <c r="AV45" s="54">
        <f>AV12-AV32+1</f>
        <v>92921</v>
      </c>
      <c r="AW45" s="32"/>
      <c r="AX45" s="31">
        <f>AX12-AX32+1</f>
        <v>36897</v>
      </c>
      <c r="AY45" s="3"/>
      <c r="AZ45" s="53">
        <f>AZ12-AZ32</f>
        <v>29299</v>
      </c>
      <c r="BA45" s="32"/>
      <c r="BB45" s="54">
        <f>BB12-BB32</f>
        <v>66196</v>
      </c>
      <c r="BC45" s="3"/>
      <c r="BD45" s="53">
        <f>BD12-BD32</f>
        <v>19582</v>
      </c>
      <c r="BE45" s="32"/>
      <c r="BF45" s="54">
        <f>BF12-BF32</f>
        <v>85778</v>
      </c>
    </row>
    <row r="46" spans="2:58">
      <c r="B46" s="19"/>
      <c r="C46" s="24" t="s">
        <v>26</v>
      </c>
      <c r="D46" s="24"/>
      <c r="E46" s="24"/>
      <c r="F46" s="54">
        <f>F13-F39</f>
        <v>-11363</v>
      </c>
      <c r="G46" s="32"/>
      <c r="H46" s="31">
        <f>H13-H39</f>
        <v>-5109</v>
      </c>
      <c r="I46" s="3"/>
      <c r="J46" s="53">
        <f>J13-J39</f>
        <v>-964</v>
      </c>
      <c r="K46" s="32"/>
      <c r="L46" s="54">
        <f>L13-L39</f>
        <v>-6073</v>
      </c>
      <c r="M46" s="3"/>
      <c r="N46" s="53">
        <f>N13-N39</f>
        <v>-5449</v>
      </c>
      <c r="O46" s="32"/>
      <c r="P46" s="54">
        <f>P13-P39</f>
        <v>-11521</v>
      </c>
      <c r="Q46" s="3"/>
      <c r="R46" s="53">
        <f>R13-R39</f>
        <v>-7568</v>
      </c>
      <c r="S46" s="32"/>
      <c r="T46" s="54">
        <f>T13-T39</f>
        <v>-19090</v>
      </c>
      <c r="U46" s="32"/>
      <c r="V46" s="31">
        <f>V13-V39</f>
        <v>-2497</v>
      </c>
      <c r="W46" s="3"/>
      <c r="X46" s="53">
        <f>X13-X39</f>
        <v>-8718</v>
      </c>
      <c r="Y46" s="32"/>
      <c r="Z46" s="54">
        <f>Z13-Z39</f>
        <v>-11215</v>
      </c>
      <c r="AA46" s="3"/>
      <c r="AB46" s="53">
        <f>AB13-AB39</f>
        <v>99355</v>
      </c>
      <c r="AC46" s="32"/>
      <c r="AD46" s="54">
        <f>AD13-AD39</f>
        <v>88140</v>
      </c>
      <c r="AE46" s="3"/>
      <c r="AF46" s="53">
        <f>AF13-AF39</f>
        <v>-8263</v>
      </c>
      <c r="AG46" s="32"/>
      <c r="AH46" s="54">
        <f>AH13-AH39</f>
        <v>79877</v>
      </c>
      <c r="AI46" s="32"/>
      <c r="AJ46" s="31">
        <f>AJ13-AJ39</f>
        <v>-10113</v>
      </c>
      <c r="AK46" s="3"/>
      <c r="AL46" s="53">
        <f>AL13-AL39</f>
        <v>-13311</v>
      </c>
      <c r="AM46" s="32"/>
      <c r="AN46" s="54">
        <f>AN13-AN39</f>
        <v>-23422</v>
      </c>
      <c r="AO46" s="3"/>
      <c r="AP46" s="53">
        <f>AP13-AP39</f>
        <v>-10398</v>
      </c>
      <c r="AQ46" s="32"/>
      <c r="AR46" s="54">
        <f>AR13-AR39</f>
        <v>-33822</v>
      </c>
      <c r="AS46" s="3"/>
      <c r="AT46" s="53">
        <f>AT13-AT39+1</f>
        <v>-11987</v>
      </c>
      <c r="AU46" s="32"/>
      <c r="AV46" s="54">
        <f>AV13-AV39-1</f>
        <v>-45808</v>
      </c>
      <c r="AW46" s="32"/>
      <c r="AX46" s="31">
        <f>AX13-AX39-1</f>
        <v>-7193</v>
      </c>
      <c r="AY46" s="3"/>
      <c r="AZ46" s="53">
        <f>AZ13-AZ39</f>
        <v>-11457</v>
      </c>
      <c r="BA46" s="32"/>
      <c r="BB46" s="54">
        <f>BB13-BB39</f>
        <v>-18650</v>
      </c>
      <c r="BC46" s="3"/>
      <c r="BD46" s="53">
        <f>BD13-BD39</f>
        <v>-10908</v>
      </c>
      <c r="BE46" s="32"/>
      <c r="BF46" s="54">
        <f>BF13-BF39</f>
        <v>-29558</v>
      </c>
    </row>
    <row r="47" spans="2:58">
      <c r="B47" s="17"/>
      <c r="C47" s="18"/>
      <c r="D47" s="18"/>
      <c r="E47" s="18"/>
      <c r="F47" s="43">
        <f>SUM(F44:F46)</f>
        <v>426520</v>
      </c>
      <c r="G47" s="32"/>
      <c r="H47" s="40">
        <f>SUM(H44:H46)</f>
        <v>26037</v>
      </c>
      <c r="I47" s="3"/>
      <c r="J47" s="42">
        <f>SUM(J44:J46)</f>
        <v>52524</v>
      </c>
      <c r="K47" s="32"/>
      <c r="L47" s="43">
        <f>SUM(L44:L46)</f>
        <v>78561</v>
      </c>
      <c r="M47" s="3"/>
      <c r="N47" s="42">
        <f>SUM(N44:N46)</f>
        <v>32041</v>
      </c>
      <c r="O47" s="32"/>
      <c r="P47" s="43">
        <f>SUM(P44:P46)</f>
        <v>110603</v>
      </c>
      <c r="Q47" s="3"/>
      <c r="R47" s="42">
        <f>SUM(R44:R46)</f>
        <v>-2084</v>
      </c>
      <c r="S47" s="32"/>
      <c r="T47" s="43">
        <f>SUM(T44:T46)</f>
        <v>108518</v>
      </c>
      <c r="U47" s="32"/>
      <c r="V47" s="40">
        <f>SUM(V44:V46)</f>
        <v>81329</v>
      </c>
      <c r="W47" s="3"/>
      <c r="X47" s="42">
        <f>SUM(X44:X46)</f>
        <v>27327</v>
      </c>
      <c r="Y47" s="32"/>
      <c r="Z47" s="43">
        <f>SUM(Z44:Z46)</f>
        <v>108656</v>
      </c>
      <c r="AA47" s="3"/>
      <c r="AB47" s="42">
        <f>SUM(AB44:AB46)</f>
        <v>-233234</v>
      </c>
      <c r="AC47" s="32"/>
      <c r="AD47" s="43">
        <f>SUM(AD44:AD46)</f>
        <v>-124578</v>
      </c>
      <c r="AE47" s="3"/>
      <c r="AF47" s="42">
        <f>SUM(AF44:AF46)</f>
        <v>16238</v>
      </c>
      <c r="AG47" s="32"/>
      <c r="AH47" s="43">
        <f>SUM(AH44:AH46)</f>
        <v>-108340</v>
      </c>
      <c r="AI47" s="32"/>
      <c r="AJ47" s="40">
        <f>SUM(AJ44:AJ46)</f>
        <v>79849</v>
      </c>
      <c r="AK47" s="3"/>
      <c r="AL47" s="42">
        <f>SUM(AL44:AL46)</f>
        <v>60675</v>
      </c>
      <c r="AM47" s="32"/>
      <c r="AN47" s="43">
        <f>SUM(AN44:AN46)</f>
        <v>140525</v>
      </c>
      <c r="AO47" s="3"/>
      <c r="AP47" s="42">
        <f>SUM(AP44:AP46)</f>
        <v>51345</v>
      </c>
      <c r="AQ47" s="32"/>
      <c r="AR47" s="43">
        <f>SUM(AR44:AR46)</f>
        <v>191869</v>
      </c>
      <c r="AS47" s="3"/>
      <c r="AT47" s="42">
        <f>SUM(AT44:AT46)</f>
        <v>12857</v>
      </c>
      <c r="AU47" s="32"/>
      <c r="AV47" s="43">
        <f>SUM(AV44:AV46)</f>
        <v>204727</v>
      </c>
      <c r="AW47" s="32"/>
      <c r="AX47" s="40">
        <f>SUM(AX44:AX46)</f>
        <v>94169</v>
      </c>
      <c r="AY47" s="3"/>
      <c r="AZ47" s="42">
        <f>SUM(AZ44:AZ46)</f>
        <v>48235</v>
      </c>
      <c r="BA47" s="32"/>
      <c r="BB47" s="43">
        <f>SUM(BB44:BB46)</f>
        <v>142404</v>
      </c>
      <c r="BC47" s="3"/>
      <c r="BD47" s="42">
        <f>SUM(BD44:BD46)</f>
        <v>29069</v>
      </c>
      <c r="BE47" s="32"/>
      <c r="BF47" s="43">
        <f>SUM(BF44:BF46)</f>
        <v>171473</v>
      </c>
    </row>
    <row r="48" spans="2:58">
      <c r="B48" s="17" t="s">
        <v>41</v>
      </c>
      <c r="C48" s="18"/>
      <c r="D48" s="18"/>
      <c r="E48" s="18"/>
      <c r="F48" s="36"/>
      <c r="G48" s="3"/>
      <c r="H48" s="35"/>
      <c r="I48" s="3"/>
      <c r="J48" s="34"/>
      <c r="K48" s="33"/>
      <c r="L48" s="36"/>
      <c r="M48" s="3"/>
      <c r="N48" s="34"/>
      <c r="O48" s="33"/>
      <c r="P48" s="36"/>
      <c r="Q48" s="3"/>
      <c r="R48" s="34"/>
      <c r="S48" s="33"/>
      <c r="T48" s="36"/>
      <c r="U48" s="3"/>
      <c r="V48" s="35"/>
      <c r="W48" s="3"/>
      <c r="X48" s="34"/>
      <c r="Y48" s="33"/>
      <c r="Z48" s="36"/>
      <c r="AA48" s="3"/>
      <c r="AB48" s="34"/>
      <c r="AC48" s="33"/>
      <c r="AD48" s="36"/>
      <c r="AE48" s="3"/>
      <c r="AF48" s="34"/>
      <c r="AG48" s="33"/>
      <c r="AH48" s="36"/>
      <c r="AI48" s="3"/>
      <c r="AJ48" s="35"/>
      <c r="AK48" s="3"/>
      <c r="AL48" s="34"/>
      <c r="AM48" s="33"/>
      <c r="AN48" s="36"/>
      <c r="AO48" s="3"/>
      <c r="AP48" s="34"/>
      <c r="AQ48" s="33"/>
      <c r="AR48" s="36"/>
      <c r="AS48" s="3"/>
      <c r="AT48" s="34"/>
      <c r="AU48" s="33"/>
      <c r="AV48" s="36"/>
      <c r="AW48" s="3"/>
      <c r="AX48" s="35"/>
      <c r="AY48" s="3"/>
      <c r="AZ48" s="34"/>
      <c r="BA48" s="33"/>
      <c r="BB48" s="36"/>
      <c r="BC48" s="3"/>
      <c r="BD48" s="34"/>
      <c r="BE48" s="33"/>
      <c r="BF48" s="36"/>
    </row>
    <row r="49" spans="2:58">
      <c r="B49" s="19"/>
      <c r="C49" s="24" t="s">
        <v>42</v>
      </c>
      <c r="D49" s="24"/>
      <c r="E49" s="24"/>
      <c r="F49" s="36">
        <v>140078</v>
      </c>
      <c r="G49" s="3"/>
      <c r="H49" s="35">
        <v>35166</v>
      </c>
      <c r="I49" s="3"/>
      <c r="J49" s="34">
        <v>36392</v>
      </c>
      <c r="K49" s="33"/>
      <c r="L49" s="36">
        <v>71558</v>
      </c>
      <c r="M49" s="3"/>
      <c r="N49" s="34">
        <v>37659</v>
      </c>
      <c r="O49" s="33"/>
      <c r="P49" s="36">
        <v>109217</v>
      </c>
      <c r="Q49" s="3"/>
      <c r="R49" s="34">
        <v>30404</v>
      </c>
      <c r="S49" s="33"/>
      <c r="T49" s="36">
        <v>139621</v>
      </c>
      <c r="U49" s="3"/>
      <c r="V49" s="35">
        <v>32461</v>
      </c>
      <c r="W49" s="3"/>
      <c r="X49" s="34">
        <v>32974</v>
      </c>
      <c r="Y49" s="33"/>
      <c r="Z49" s="36">
        <v>65435</v>
      </c>
      <c r="AA49" s="3"/>
      <c r="AB49" s="34">
        <v>35334</v>
      </c>
      <c r="AC49" s="33"/>
      <c r="AD49" s="36">
        <v>100770</v>
      </c>
      <c r="AE49" s="3"/>
      <c r="AF49" s="34">
        <v>35848</v>
      </c>
      <c r="AG49" s="33"/>
      <c r="AH49" s="36">
        <v>136617</v>
      </c>
      <c r="AI49" s="3"/>
      <c r="AJ49" s="35">
        <v>37954</v>
      </c>
      <c r="AK49" s="3"/>
      <c r="AL49" s="34">
        <v>40469</v>
      </c>
      <c r="AM49" s="33"/>
      <c r="AN49" s="36">
        <v>78423</v>
      </c>
      <c r="AO49" s="3"/>
      <c r="AP49" s="34">
        <v>42119</v>
      </c>
      <c r="AQ49" s="33"/>
      <c r="AR49" s="36">
        <v>120542</v>
      </c>
      <c r="AS49" s="3"/>
      <c r="AT49" s="34">
        <v>39207</v>
      </c>
      <c r="AU49" s="33"/>
      <c r="AV49" s="36">
        <v>159749</v>
      </c>
      <c r="AW49" s="3"/>
      <c r="AX49" s="35">
        <v>44041</v>
      </c>
      <c r="AY49" s="3"/>
      <c r="AZ49" s="34">
        <v>41080</v>
      </c>
      <c r="BA49" s="33"/>
      <c r="BB49" s="36">
        <v>85121</v>
      </c>
      <c r="BC49" s="3"/>
      <c r="BD49" s="34">
        <v>44214</v>
      </c>
      <c r="BE49" s="33"/>
      <c r="BF49" s="36">
        <v>129335</v>
      </c>
    </row>
    <row r="50" spans="2:58">
      <c r="B50" s="19"/>
      <c r="C50" s="24" t="s">
        <v>43</v>
      </c>
      <c r="D50" s="47"/>
      <c r="E50" s="47"/>
      <c r="F50" s="36">
        <v>4922</v>
      </c>
      <c r="G50" s="3"/>
      <c r="H50" s="35">
        <f>13851-11358</f>
        <v>2493</v>
      </c>
      <c r="I50" s="3"/>
      <c r="J50" s="34">
        <v>3186</v>
      </c>
      <c r="K50" s="33"/>
      <c r="L50" s="36">
        <f>29259-23580</f>
        <v>5679</v>
      </c>
      <c r="M50" s="3"/>
      <c r="N50" s="34">
        <f>14957-13006</f>
        <v>1951</v>
      </c>
      <c r="O50" s="33"/>
      <c r="P50" s="36">
        <v>7630</v>
      </c>
      <c r="Q50" s="3"/>
      <c r="R50" s="34">
        <v>3115</v>
      </c>
      <c r="S50" s="33"/>
      <c r="T50" s="36">
        <v>10745</v>
      </c>
      <c r="U50" s="3"/>
      <c r="V50" s="35">
        <v>4075</v>
      </c>
      <c r="W50" s="3"/>
      <c r="X50" s="34">
        <v>3675</v>
      </c>
      <c r="Y50" s="33"/>
      <c r="Z50" s="36">
        <v>7750</v>
      </c>
      <c r="AA50" s="3"/>
      <c r="AB50" s="34">
        <v>3920</v>
      </c>
      <c r="AC50" s="33"/>
      <c r="AD50" s="36">
        <v>11671</v>
      </c>
      <c r="AE50" s="3"/>
      <c r="AF50" s="34">
        <v>3595</v>
      </c>
      <c r="AG50" s="33"/>
      <c r="AH50" s="36">
        <v>15266</v>
      </c>
      <c r="AI50" s="3"/>
      <c r="AJ50" s="35">
        <v>5398</v>
      </c>
      <c r="AK50" s="3"/>
      <c r="AL50" s="34">
        <v>6078</v>
      </c>
      <c r="AM50" s="33"/>
      <c r="AN50" s="36">
        <v>11476</v>
      </c>
      <c r="AO50" s="3"/>
      <c r="AP50" s="34">
        <v>6116</v>
      </c>
      <c r="AQ50" s="33"/>
      <c r="AR50" s="36">
        <v>17593</v>
      </c>
      <c r="AS50" s="3"/>
      <c r="AT50" s="34">
        <v>7918</v>
      </c>
      <c r="AU50" s="33"/>
      <c r="AV50" s="36">
        <v>25510</v>
      </c>
      <c r="AW50" s="3"/>
      <c r="AX50" s="35">
        <v>8620</v>
      </c>
      <c r="AY50" s="3"/>
      <c r="AZ50" s="34">
        <v>8722</v>
      </c>
      <c r="BA50" s="33"/>
      <c r="BB50" s="36">
        <v>17342</v>
      </c>
      <c r="BC50" s="3"/>
      <c r="BD50" s="34">
        <v>7031</v>
      </c>
      <c r="BE50" s="33"/>
      <c r="BF50" s="36">
        <v>24373</v>
      </c>
    </row>
    <row r="51" spans="2:58">
      <c r="B51" s="19"/>
      <c r="C51" s="19" t="s">
        <v>44</v>
      </c>
      <c r="D51" s="47"/>
      <c r="E51" s="47"/>
      <c r="F51" s="57">
        <v>0</v>
      </c>
      <c r="G51" s="3"/>
      <c r="H51" s="56">
        <v>0</v>
      </c>
      <c r="I51" s="3"/>
      <c r="J51" s="34">
        <v>0</v>
      </c>
      <c r="K51" s="41"/>
      <c r="L51" s="57">
        <v>0</v>
      </c>
      <c r="M51" s="3"/>
      <c r="N51" s="34">
        <v>0</v>
      </c>
      <c r="O51" s="41"/>
      <c r="P51" s="57">
        <v>0</v>
      </c>
      <c r="Q51" s="3"/>
      <c r="R51" s="34">
        <v>-1</v>
      </c>
      <c r="S51" s="41"/>
      <c r="T51" s="57">
        <v>-1</v>
      </c>
      <c r="U51" s="3"/>
      <c r="V51" s="56">
        <v>0</v>
      </c>
      <c r="W51" s="3"/>
      <c r="X51" s="34">
        <v>0</v>
      </c>
      <c r="Y51" s="41"/>
      <c r="Z51" s="57">
        <v>0</v>
      </c>
      <c r="AA51" s="3"/>
      <c r="AB51" s="34">
        <v>0</v>
      </c>
      <c r="AC51" s="41"/>
      <c r="AD51" s="57">
        <v>0</v>
      </c>
      <c r="AE51" s="3"/>
      <c r="AF51" s="34">
        <v>-103</v>
      </c>
      <c r="AG51" s="41"/>
      <c r="AH51" s="57">
        <v>-103</v>
      </c>
      <c r="AI51" s="3"/>
      <c r="AJ51" s="56">
        <v>0</v>
      </c>
      <c r="AK51" s="3"/>
      <c r="AL51" s="34">
        <v>0</v>
      </c>
      <c r="AM51" s="41"/>
      <c r="AN51" s="57">
        <v>0</v>
      </c>
      <c r="AO51" s="3"/>
      <c r="AP51" s="34">
        <v>0</v>
      </c>
      <c r="AQ51" s="41"/>
      <c r="AR51" s="57">
        <v>0</v>
      </c>
      <c r="AS51" s="3"/>
      <c r="AT51" s="34">
        <v>0</v>
      </c>
      <c r="AU51" s="41"/>
      <c r="AV51" s="57">
        <v>0</v>
      </c>
      <c r="AW51" s="3"/>
      <c r="AX51" s="56">
        <v>0</v>
      </c>
      <c r="AY51" s="3"/>
      <c r="AZ51" s="34">
        <v>0</v>
      </c>
      <c r="BA51" s="41"/>
      <c r="BB51" s="57">
        <v>0</v>
      </c>
      <c r="BC51" s="3"/>
      <c r="BD51" s="34">
        <v>0</v>
      </c>
      <c r="BE51" s="41"/>
      <c r="BF51" s="57">
        <v>0</v>
      </c>
    </row>
    <row r="52" spans="2:58">
      <c r="B52" s="19"/>
      <c r="C52" s="48" t="s">
        <v>45</v>
      </c>
      <c r="D52" s="24"/>
      <c r="E52" s="24"/>
      <c r="F52" s="36">
        <v>-141718</v>
      </c>
      <c r="G52" s="3"/>
      <c r="H52" s="35">
        <v>-41859</v>
      </c>
      <c r="I52" s="3"/>
      <c r="J52" s="34">
        <v>-42793</v>
      </c>
      <c r="K52" s="33"/>
      <c r="L52" s="36">
        <v>-84652</v>
      </c>
      <c r="M52" s="3"/>
      <c r="N52" s="34">
        <v>-41965</v>
      </c>
      <c r="O52" s="33"/>
      <c r="P52" s="36">
        <v>-126618</v>
      </c>
      <c r="Q52" s="3"/>
      <c r="R52" s="34">
        <v>-43405</v>
      </c>
      <c r="S52" s="33"/>
      <c r="T52" s="36">
        <v>-170022</v>
      </c>
      <c r="U52" s="3"/>
      <c r="V52" s="35">
        <v>-42449</v>
      </c>
      <c r="W52" s="3"/>
      <c r="X52" s="34">
        <v>-42669</v>
      </c>
      <c r="Y52" s="33"/>
      <c r="Z52" s="36">
        <v>-85119</v>
      </c>
      <c r="AA52" s="3"/>
      <c r="AB52" s="34">
        <v>-42677</v>
      </c>
      <c r="AC52" s="33"/>
      <c r="AD52" s="36">
        <v>-127795</v>
      </c>
      <c r="AE52" s="3"/>
      <c r="AF52" s="34">
        <v>-41899</v>
      </c>
      <c r="AG52" s="33"/>
      <c r="AH52" s="36">
        <v>-169694</v>
      </c>
      <c r="AI52" s="3"/>
      <c r="AJ52" s="35">
        <v>-43096</v>
      </c>
      <c r="AK52" s="3"/>
      <c r="AL52" s="34">
        <v>-42950</v>
      </c>
      <c r="AM52" s="33"/>
      <c r="AN52" s="36">
        <v>-86046</v>
      </c>
      <c r="AO52" s="3"/>
      <c r="AP52" s="34">
        <v>-42742</v>
      </c>
      <c r="AQ52" s="33"/>
      <c r="AR52" s="36">
        <v>-128789</v>
      </c>
      <c r="AS52" s="3"/>
      <c r="AT52" s="34">
        <v>-43123</v>
      </c>
      <c r="AU52" s="33"/>
      <c r="AV52" s="36">
        <v>-171911</v>
      </c>
      <c r="AW52" s="3"/>
      <c r="AX52" s="35">
        <v>-43052</v>
      </c>
      <c r="AY52" s="3"/>
      <c r="AZ52" s="34">
        <v>-42544</v>
      </c>
      <c r="BA52" s="33"/>
      <c r="BB52" s="36">
        <v>-85596</v>
      </c>
      <c r="BC52" s="3"/>
      <c r="BD52" s="34">
        <v>-42450</v>
      </c>
      <c r="BE52" s="33"/>
      <c r="BF52" s="36">
        <v>-128045</v>
      </c>
    </row>
    <row r="53" spans="2:58">
      <c r="B53" s="19"/>
      <c r="C53" s="47" t="s">
        <v>46</v>
      </c>
      <c r="D53" s="47"/>
      <c r="E53" s="47"/>
      <c r="F53" s="36">
        <v>4800</v>
      </c>
      <c r="G53" s="3"/>
      <c r="H53" s="35">
        <v>789</v>
      </c>
      <c r="I53" s="3"/>
      <c r="J53" s="34">
        <v>671</v>
      </c>
      <c r="K53" s="33"/>
      <c r="L53" s="36">
        <v>1459</v>
      </c>
      <c r="M53" s="3"/>
      <c r="N53" s="34">
        <v>797</v>
      </c>
      <c r="O53" s="33"/>
      <c r="P53" s="36">
        <v>2257</v>
      </c>
      <c r="Q53" s="3"/>
      <c r="R53" s="34">
        <v>886</v>
      </c>
      <c r="S53" s="33"/>
      <c r="T53" s="36">
        <v>3143</v>
      </c>
      <c r="U53" s="3"/>
      <c r="V53" s="35">
        <v>1209</v>
      </c>
      <c r="W53" s="3"/>
      <c r="X53" s="34">
        <v>964</v>
      </c>
      <c r="Y53" s="33"/>
      <c r="Z53" s="36">
        <v>2174</v>
      </c>
      <c r="AA53" s="3"/>
      <c r="AB53" s="34">
        <v>1067</v>
      </c>
      <c r="AC53" s="33"/>
      <c r="AD53" s="36">
        <v>3238</v>
      </c>
      <c r="AE53" s="3"/>
      <c r="AF53" s="34">
        <v>962</v>
      </c>
      <c r="AG53" s="33"/>
      <c r="AH53" s="36">
        <v>4201</v>
      </c>
      <c r="AI53" s="3"/>
      <c r="AJ53" s="35">
        <v>678</v>
      </c>
      <c r="AK53" s="3"/>
      <c r="AL53" s="34">
        <v>643</v>
      </c>
      <c r="AM53" s="33"/>
      <c r="AN53" s="36">
        <v>1320</v>
      </c>
      <c r="AO53" s="3"/>
      <c r="AP53" s="34">
        <v>876</v>
      </c>
      <c r="AQ53" s="33"/>
      <c r="AR53" s="36">
        <v>2198</v>
      </c>
      <c r="AS53" s="3"/>
      <c r="AT53" s="34">
        <v>1002</v>
      </c>
      <c r="AU53" s="33"/>
      <c r="AV53" s="36">
        <v>3198</v>
      </c>
      <c r="AW53" s="3"/>
      <c r="AX53" s="35">
        <v>306</v>
      </c>
      <c r="AY53" s="3"/>
      <c r="AZ53" s="34">
        <v>-745</v>
      </c>
      <c r="BA53" s="33"/>
      <c r="BB53" s="36">
        <v>-439</v>
      </c>
      <c r="BC53" s="3"/>
      <c r="BD53" s="34">
        <v>-282</v>
      </c>
      <c r="BE53" s="33"/>
      <c r="BF53" s="36">
        <v>-723</v>
      </c>
    </row>
    <row r="54" spans="2:58">
      <c r="B54" s="19"/>
      <c r="C54" s="18"/>
      <c r="D54" s="24" t="s">
        <v>47</v>
      </c>
      <c r="E54" s="18"/>
      <c r="F54" s="43">
        <f>SUM(F49:F53)</f>
        <v>8082</v>
      </c>
      <c r="G54" s="32"/>
      <c r="H54" s="40">
        <f>SUM(H49:H53)</f>
        <v>-3411</v>
      </c>
      <c r="I54" s="3"/>
      <c r="J54" s="42">
        <f>SUM(J49:J53)</f>
        <v>-2544</v>
      </c>
      <c r="K54" s="32"/>
      <c r="L54" s="43">
        <f>SUM(L49:L53)</f>
        <v>-5956</v>
      </c>
      <c r="M54" s="3"/>
      <c r="N54" s="42">
        <f>SUM(N49:N53)</f>
        <v>-1558</v>
      </c>
      <c r="O54" s="32"/>
      <c r="P54" s="43">
        <f>SUM(P49:P53)</f>
        <v>-7514</v>
      </c>
      <c r="Q54" s="3"/>
      <c r="R54" s="42">
        <f>SUM(R49:R53)</f>
        <v>-9001</v>
      </c>
      <c r="S54" s="32"/>
      <c r="T54" s="43">
        <f>SUM(T49:T53)</f>
        <v>-16514</v>
      </c>
      <c r="U54" s="32"/>
      <c r="V54" s="40">
        <f>SUM(V49:V53)</f>
        <v>-4704</v>
      </c>
      <c r="W54" s="3"/>
      <c r="X54" s="42">
        <f>SUM(X49:X53)</f>
        <v>-5056</v>
      </c>
      <c r="Y54" s="32"/>
      <c r="Z54" s="43">
        <f>SUM(Z49:Z53)</f>
        <v>-9760</v>
      </c>
      <c r="AA54" s="3"/>
      <c r="AB54" s="42">
        <f>SUM(AB49:AB53)</f>
        <v>-2356</v>
      </c>
      <c r="AC54" s="32"/>
      <c r="AD54" s="43">
        <f>SUM(AD49:AD53)</f>
        <v>-12116</v>
      </c>
      <c r="AE54" s="3"/>
      <c r="AF54" s="42">
        <f>SUM(AF49:AF53)</f>
        <v>-1597</v>
      </c>
      <c r="AG54" s="32"/>
      <c r="AH54" s="43">
        <f>SUM(AH49:AH53)</f>
        <v>-13713</v>
      </c>
      <c r="AI54" s="32"/>
      <c r="AJ54" s="40">
        <f>SUM(AJ49:AJ53)</f>
        <v>934</v>
      </c>
      <c r="AK54" s="3"/>
      <c r="AL54" s="42">
        <f>SUM(AL49:AL53)</f>
        <v>4240</v>
      </c>
      <c r="AM54" s="32"/>
      <c r="AN54" s="43">
        <f>SUM(AN49:AN53)</f>
        <v>5173</v>
      </c>
      <c r="AO54" s="3"/>
      <c r="AP54" s="42">
        <f>SUM(AP49:AP53)</f>
        <v>6369</v>
      </c>
      <c r="AQ54" s="32"/>
      <c r="AR54" s="43">
        <f>SUM(AR49:AR53)</f>
        <v>11544</v>
      </c>
      <c r="AS54" s="3"/>
      <c r="AT54" s="42">
        <f>SUM(AT49:AT53)</f>
        <v>5004</v>
      </c>
      <c r="AU54" s="32"/>
      <c r="AV54" s="43">
        <f>SUM(AV49:AV53)</f>
        <v>16546</v>
      </c>
      <c r="AW54" s="32"/>
      <c r="AX54" s="40">
        <f>SUM(AX49:AX53)</f>
        <v>9915</v>
      </c>
      <c r="AY54" s="3"/>
      <c r="AZ54" s="42">
        <f>SUM(AZ49:AZ53)</f>
        <v>6513</v>
      </c>
      <c r="BA54" s="32"/>
      <c r="BB54" s="43">
        <f>SUM(BB49:BB53)</f>
        <v>16428</v>
      </c>
      <c r="BC54" s="3"/>
      <c r="BD54" s="42">
        <f>SUM(BD49:BD53)</f>
        <v>8513</v>
      </c>
      <c r="BE54" s="32"/>
      <c r="BF54" s="43">
        <f>SUM(BF49:BF53)</f>
        <v>24940</v>
      </c>
    </row>
    <row r="55" spans="2:58">
      <c r="B55" s="19"/>
      <c r="C55" s="18"/>
      <c r="D55" s="18"/>
      <c r="E55" s="18"/>
      <c r="F55" s="54"/>
      <c r="G55" s="32"/>
      <c r="H55" s="31"/>
      <c r="I55" s="3"/>
      <c r="J55" s="53"/>
      <c r="K55" s="32"/>
      <c r="L55" s="54"/>
      <c r="M55" s="3"/>
      <c r="N55" s="53"/>
      <c r="O55" s="32"/>
      <c r="P55" s="54"/>
      <c r="Q55" s="3"/>
      <c r="R55" s="53"/>
      <c r="S55" s="32"/>
      <c r="T55" s="54"/>
      <c r="U55" s="32"/>
      <c r="V55" s="31"/>
      <c r="W55" s="3"/>
      <c r="X55" s="53"/>
      <c r="Y55" s="32"/>
      <c r="Z55" s="54"/>
      <c r="AA55" s="3"/>
      <c r="AB55" s="53"/>
      <c r="AC55" s="32"/>
      <c r="AD55" s="54"/>
      <c r="AE55" s="3"/>
      <c r="AF55" s="53"/>
      <c r="AG55" s="32"/>
      <c r="AH55" s="54"/>
      <c r="AI55" s="32"/>
      <c r="AJ55" s="31"/>
      <c r="AK55" s="3"/>
      <c r="AL55" s="53"/>
      <c r="AM55" s="32"/>
      <c r="AN55" s="54"/>
      <c r="AO55" s="3"/>
      <c r="AP55" s="53"/>
      <c r="AQ55" s="32"/>
      <c r="AR55" s="54"/>
      <c r="AS55" s="3"/>
      <c r="AT55" s="53"/>
      <c r="AU55" s="32"/>
      <c r="AV55" s="54"/>
      <c r="AW55" s="32"/>
      <c r="AX55" s="31"/>
      <c r="AY55" s="3"/>
      <c r="AZ55" s="53"/>
      <c r="BA55" s="32"/>
      <c r="BB55" s="54"/>
      <c r="BC55" s="3"/>
      <c r="BD55" s="53"/>
      <c r="BE55" s="32"/>
      <c r="BF55" s="54"/>
    </row>
    <row r="56" spans="2:58">
      <c r="B56" s="1" t="s">
        <v>48</v>
      </c>
      <c r="C56" s="18"/>
      <c r="D56" s="18"/>
      <c r="E56" s="18"/>
      <c r="F56" s="54">
        <f>F47+F54</f>
        <v>434602</v>
      </c>
      <c r="G56" s="32"/>
      <c r="H56" s="31">
        <f>H47+H54</f>
        <v>22626</v>
      </c>
      <c r="I56" s="3"/>
      <c r="J56" s="53">
        <f>J47+J54</f>
        <v>49980</v>
      </c>
      <c r="K56" s="32"/>
      <c r="L56" s="54">
        <f>L47+L54</f>
        <v>72605</v>
      </c>
      <c r="M56" s="3"/>
      <c r="N56" s="53">
        <f>N47+N54</f>
        <v>30483</v>
      </c>
      <c r="O56" s="32"/>
      <c r="P56" s="54">
        <f>P47+P54</f>
        <v>103089</v>
      </c>
      <c r="Q56" s="3"/>
      <c r="R56" s="53">
        <f>R47+R54</f>
        <v>-11085</v>
      </c>
      <c r="S56" s="32"/>
      <c r="T56" s="54">
        <f>T47+T54</f>
        <v>92004</v>
      </c>
      <c r="U56" s="32"/>
      <c r="V56" s="31">
        <f>V47+V54</f>
        <v>76625</v>
      </c>
      <c r="W56" s="3"/>
      <c r="X56" s="53">
        <f>X47+X54</f>
        <v>22271</v>
      </c>
      <c r="Y56" s="32"/>
      <c r="Z56" s="54">
        <f>Z47+Z54</f>
        <v>98896</v>
      </c>
      <c r="AA56" s="3"/>
      <c r="AB56" s="53">
        <f>AB47+AB54</f>
        <v>-235590</v>
      </c>
      <c r="AC56" s="32"/>
      <c r="AD56" s="54">
        <f>AD47+AD54</f>
        <v>-136694</v>
      </c>
      <c r="AE56" s="3"/>
      <c r="AF56" s="53">
        <f>AF47+AF54</f>
        <v>14641</v>
      </c>
      <c r="AG56" s="32"/>
      <c r="AH56" s="54">
        <f>AH47+AH54</f>
        <v>-122053</v>
      </c>
      <c r="AI56" s="32"/>
      <c r="AJ56" s="31">
        <f>AJ47+AJ54</f>
        <v>80783</v>
      </c>
      <c r="AK56" s="3"/>
      <c r="AL56" s="53">
        <f>AL47+AL54</f>
        <v>64915</v>
      </c>
      <c r="AM56" s="32"/>
      <c r="AN56" s="54">
        <f>AN47+AN54</f>
        <v>145698</v>
      </c>
      <c r="AO56" s="3"/>
      <c r="AP56" s="53">
        <f>AP47+AP54</f>
        <v>57714</v>
      </c>
      <c r="AQ56" s="32"/>
      <c r="AR56" s="54">
        <f>AR47+AR54</f>
        <v>203413</v>
      </c>
      <c r="AS56" s="3"/>
      <c r="AT56" s="53">
        <f>AT47+AT54</f>
        <v>17861</v>
      </c>
      <c r="AU56" s="32"/>
      <c r="AV56" s="54">
        <f>AV47+AV54</f>
        <v>221273</v>
      </c>
      <c r="AW56" s="32"/>
      <c r="AX56" s="31">
        <f>AX47+AX54</f>
        <v>104084</v>
      </c>
      <c r="AY56" s="3"/>
      <c r="AZ56" s="53">
        <f>AZ47+AZ54</f>
        <v>54748</v>
      </c>
      <c r="BA56" s="32"/>
      <c r="BB56" s="54">
        <f>BB47+BB54</f>
        <v>158832</v>
      </c>
      <c r="BC56" s="3"/>
      <c r="BD56" s="53">
        <f>BD47+BD54</f>
        <v>37582</v>
      </c>
      <c r="BE56" s="32"/>
      <c r="BF56" s="54">
        <f>BF47+BF54</f>
        <v>196413</v>
      </c>
    </row>
    <row r="57" spans="2:58">
      <c r="B57" s="19"/>
      <c r="C57" s="48" t="s">
        <v>49</v>
      </c>
      <c r="D57" s="48"/>
      <c r="E57" s="48"/>
      <c r="F57" s="49">
        <v>171992</v>
      </c>
      <c r="G57" s="3"/>
      <c r="H57" s="59">
        <v>12596</v>
      </c>
      <c r="I57" s="3"/>
      <c r="J57" s="58">
        <v>18138</v>
      </c>
      <c r="K57" s="33"/>
      <c r="L57" s="49">
        <v>30733</v>
      </c>
      <c r="M57" s="3"/>
      <c r="N57" s="58">
        <v>14195</v>
      </c>
      <c r="O57" s="33"/>
      <c r="P57" s="49">
        <v>44929</v>
      </c>
      <c r="Q57" s="3"/>
      <c r="R57" s="58">
        <v>-5170</v>
      </c>
      <c r="S57" s="33"/>
      <c r="T57" s="49">
        <v>39760</v>
      </c>
      <c r="U57" s="3"/>
      <c r="V57" s="59">
        <v>33926</v>
      </c>
      <c r="W57" s="3"/>
      <c r="X57" s="58">
        <v>10021</v>
      </c>
      <c r="Y57" s="33"/>
      <c r="Z57" s="49">
        <v>43946</v>
      </c>
      <c r="AA57" s="3"/>
      <c r="AB57" s="58">
        <v>-4564</v>
      </c>
      <c r="AC57" s="33"/>
      <c r="AD57" s="49">
        <v>39382</v>
      </c>
      <c r="AE57" s="3"/>
      <c r="AF57" s="58">
        <v>-318969</v>
      </c>
      <c r="AG57" s="33"/>
      <c r="AH57" s="49">
        <v>-279587</v>
      </c>
      <c r="AI57" s="3"/>
      <c r="AJ57" s="59">
        <v>24004</v>
      </c>
      <c r="AK57" s="3"/>
      <c r="AL57" s="58">
        <v>20450</v>
      </c>
      <c r="AM57" s="33"/>
      <c r="AN57" s="49">
        <v>44455</v>
      </c>
      <c r="AO57" s="3"/>
      <c r="AP57" s="58">
        <v>4233</v>
      </c>
      <c r="AQ57" s="33"/>
      <c r="AR57" s="49">
        <v>48689</v>
      </c>
      <c r="AS57" s="3"/>
      <c r="AT57" s="58">
        <v>-2240</v>
      </c>
      <c r="AU57" s="33"/>
      <c r="AV57" s="49">
        <v>46448</v>
      </c>
      <c r="AW57" s="3"/>
      <c r="AX57" s="59">
        <v>33941</v>
      </c>
      <c r="AY57" s="3"/>
      <c r="AZ57" s="58">
        <v>15764</v>
      </c>
      <c r="BA57" s="33"/>
      <c r="BB57" s="49">
        <v>49705</v>
      </c>
      <c r="BC57" s="3"/>
      <c r="BD57" s="58">
        <v>14683</v>
      </c>
      <c r="BE57" s="33"/>
      <c r="BF57" s="49">
        <v>64387</v>
      </c>
    </row>
    <row r="58" spans="2:58">
      <c r="B58" s="1" t="s">
        <v>50</v>
      </c>
      <c r="C58" s="60"/>
      <c r="D58" s="60"/>
      <c r="E58" s="60"/>
      <c r="F58" s="54">
        <f>F56-F57</f>
        <v>262610</v>
      </c>
      <c r="G58" s="32"/>
      <c r="H58" s="31">
        <f>H56-H57</f>
        <v>10030</v>
      </c>
      <c r="I58" s="3"/>
      <c r="J58" s="53">
        <f>J56-J57</f>
        <v>31842</v>
      </c>
      <c r="K58" s="32"/>
      <c r="L58" s="54">
        <f>L56-L57</f>
        <v>41872</v>
      </c>
      <c r="M58" s="3"/>
      <c r="N58" s="53">
        <f>N56-N57</f>
        <v>16288</v>
      </c>
      <c r="O58" s="32"/>
      <c r="P58" s="54">
        <f>P56-P57</f>
        <v>58160</v>
      </c>
      <c r="Q58" s="3"/>
      <c r="R58" s="53">
        <f>R56-R57</f>
        <v>-5915</v>
      </c>
      <c r="S58" s="32"/>
      <c r="T58" s="54">
        <f>T56-T57</f>
        <v>52244</v>
      </c>
      <c r="U58" s="32"/>
      <c r="V58" s="31">
        <f>V56-V57</f>
        <v>42699</v>
      </c>
      <c r="W58" s="3"/>
      <c r="X58" s="53">
        <f>X56-X57</f>
        <v>12250</v>
      </c>
      <c r="Y58" s="32"/>
      <c r="Z58" s="54">
        <f>Z56-Z57</f>
        <v>54950</v>
      </c>
      <c r="AA58" s="3"/>
      <c r="AB58" s="53">
        <f>AB56-AB57</f>
        <v>-231026</v>
      </c>
      <c r="AC58" s="32"/>
      <c r="AD58" s="54">
        <f>AD56-AD57</f>
        <v>-176076</v>
      </c>
      <c r="AE58" s="3"/>
      <c r="AF58" s="53">
        <f>AF56-AF57</f>
        <v>333610</v>
      </c>
      <c r="AG58" s="32"/>
      <c r="AH58" s="54">
        <f>AH56-AH57</f>
        <v>157534</v>
      </c>
      <c r="AI58" s="32"/>
      <c r="AJ58" s="31">
        <f>AJ56-AJ57</f>
        <v>56779</v>
      </c>
      <c r="AK58" s="3"/>
      <c r="AL58" s="53">
        <f>AL56-AL57</f>
        <v>44465</v>
      </c>
      <c r="AM58" s="32"/>
      <c r="AN58" s="54">
        <f>AN56-AN57</f>
        <v>101243</v>
      </c>
      <c r="AO58" s="3"/>
      <c r="AP58" s="53">
        <f>AP56-AP57</f>
        <v>53481</v>
      </c>
      <c r="AQ58" s="32"/>
      <c r="AR58" s="54">
        <f>AR56-AR57</f>
        <v>154724</v>
      </c>
      <c r="AS58" s="3"/>
      <c r="AT58" s="53">
        <f>AT56-AT57</f>
        <v>20101</v>
      </c>
      <c r="AU58" s="32"/>
      <c r="AV58" s="54">
        <f>AV56-AV57</f>
        <v>174825</v>
      </c>
      <c r="AW58" s="32"/>
      <c r="AX58" s="31">
        <f>AX56-AX57</f>
        <v>70143</v>
      </c>
      <c r="AY58" s="3"/>
      <c r="AZ58" s="53">
        <f>AZ56-AZ57</f>
        <v>38984</v>
      </c>
      <c r="BA58" s="32"/>
      <c r="BB58" s="54">
        <f>BB56-BB57</f>
        <v>109127</v>
      </c>
      <c r="BC58" s="3"/>
      <c r="BD58" s="53">
        <f>BD56-BD57</f>
        <v>22899</v>
      </c>
      <c r="BE58" s="32"/>
      <c r="BF58" s="54">
        <f>BF56-BF57</f>
        <v>132026</v>
      </c>
    </row>
    <row r="59" spans="2:58">
      <c r="B59" s="17"/>
      <c r="C59" s="24" t="s">
        <v>51</v>
      </c>
      <c r="D59" s="24"/>
      <c r="E59" s="47"/>
      <c r="F59" s="62">
        <v>0</v>
      </c>
      <c r="G59" s="3"/>
      <c r="H59" s="61">
        <v>0</v>
      </c>
      <c r="I59" s="3"/>
      <c r="J59" s="58">
        <v>0</v>
      </c>
      <c r="K59" s="41"/>
      <c r="L59" s="62">
        <v>0</v>
      </c>
      <c r="M59" s="3"/>
      <c r="N59" s="58">
        <v>0</v>
      </c>
      <c r="O59" s="41"/>
      <c r="P59" s="62">
        <v>0</v>
      </c>
      <c r="Q59" s="3"/>
      <c r="R59" s="58">
        <v>0</v>
      </c>
      <c r="S59" s="41"/>
      <c r="T59" s="62">
        <v>0</v>
      </c>
      <c r="U59" s="3"/>
      <c r="V59" s="61">
        <v>0</v>
      </c>
      <c r="W59" s="3"/>
      <c r="X59" s="58">
        <v>0</v>
      </c>
      <c r="Y59" s="41"/>
      <c r="Z59" s="62">
        <v>0</v>
      </c>
      <c r="AA59" s="3"/>
      <c r="AB59" s="58">
        <v>0</v>
      </c>
      <c r="AC59" s="41"/>
      <c r="AD59" s="62">
        <v>0</v>
      </c>
      <c r="AE59" s="3"/>
      <c r="AF59" s="58">
        <v>0</v>
      </c>
      <c r="AG59" s="41"/>
      <c r="AH59" s="62">
        <v>0</v>
      </c>
      <c r="AI59" s="3"/>
      <c r="AJ59" s="61">
        <v>0</v>
      </c>
      <c r="AK59" s="3"/>
      <c r="AL59" s="58">
        <v>0</v>
      </c>
      <c r="AM59" s="41"/>
      <c r="AN59" s="62">
        <v>0</v>
      </c>
      <c r="AO59" s="3"/>
      <c r="AP59" s="58">
        <v>0</v>
      </c>
      <c r="AQ59" s="41"/>
      <c r="AR59" s="62">
        <v>0</v>
      </c>
      <c r="AS59" s="3"/>
      <c r="AT59" s="58">
        <v>0</v>
      </c>
      <c r="AU59" s="41"/>
      <c r="AV59" s="62">
        <v>0</v>
      </c>
      <c r="AW59" s="3"/>
      <c r="AX59" s="61">
        <v>0</v>
      </c>
      <c r="AY59" s="3"/>
      <c r="AZ59" s="58">
        <v>0</v>
      </c>
      <c r="BA59" s="41"/>
      <c r="BB59" s="62">
        <v>0</v>
      </c>
      <c r="BC59" s="3"/>
      <c r="BD59" s="58">
        <v>0</v>
      </c>
      <c r="BE59" s="41"/>
      <c r="BF59" s="62">
        <v>0</v>
      </c>
    </row>
    <row r="60" spans="2:58">
      <c r="B60" s="1" t="s">
        <v>52</v>
      </c>
      <c r="C60" s="47"/>
      <c r="D60" s="47"/>
      <c r="E60" s="47"/>
      <c r="F60" s="54">
        <f>F58+F59</f>
        <v>262610</v>
      </c>
      <c r="G60" s="32"/>
      <c r="H60" s="31">
        <f>H58+H59</f>
        <v>10030</v>
      </c>
      <c r="I60" s="3"/>
      <c r="J60" s="53">
        <f>J58+J59</f>
        <v>31842</v>
      </c>
      <c r="K60" s="32"/>
      <c r="L60" s="54">
        <f>L58+L59</f>
        <v>41872</v>
      </c>
      <c r="M60" s="3"/>
      <c r="N60" s="53">
        <f>N58+N59</f>
        <v>16288</v>
      </c>
      <c r="O60" s="32"/>
      <c r="P60" s="54">
        <f>P58+P59</f>
        <v>58160</v>
      </c>
      <c r="Q60" s="3"/>
      <c r="R60" s="53">
        <f>R58+R59</f>
        <v>-5915</v>
      </c>
      <c r="S60" s="32"/>
      <c r="T60" s="54">
        <f>T58+T59</f>
        <v>52244</v>
      </c>
      <c r="U60" s="32"/>
      <c r="V60" s="31">
        <f>V58+V59</f>
        <v>42699</v>
      </c>
      <c r="W60" s="3"/>
      <c r="X60" s="53">
        <f>X58+X59</f>
        <v>12250</v>
      </c>
      <c r="Y60" s="32"/>
      <c r="Z60" s="54">
        <f>Z58+Z59</f>
        <v>54950</v>
      </c>
      <c r="AA60" s="3"/>
      <c r="AB60" s="53">
        <f>AB58+AB59</f>
        <v>-231026</v>
      </c>
      <c r="AC60" s="32"/>
      <c r="AD60" s="54">
        <f>AD58+AD59</f>
        <v>-176076</v>
      </c>
      <c r="AE60" s="3"/>
      <c r="AF60" s="53">
        <f>AF58+AF59</f>
        <v>333610</v>
      </c>
      <c r="AG60" s="32"/>
      <c r="AH60" s="54">
        <f>AH58+AH59</f>
        <v>157534</v>
      </c>
      <c r="AI60" s="32"/>
      <c r="AJ60" s="31">
        <f>AJ58+AJ59</f>
        <v>56779</v>
      </c>
      <c r="AK60" s="3"/>
      <c r="AL60" s="53">
        <f>AL58+AL59</f>
        <v>44465</v>
      </c>
      <c r="AM60" s="32"/>
      <c r="AN60" s="54">
        <f>AN58+AN59</f>
        <v>101243</v>
      </c>
      <c r="AO60" s="3"/>
      <c r="AP60" s="53">
        <f>AP58+AP59</f>
        <v>53481</v>
      </c>
      <c r="AQ60" s="32"/>
      <c r="AR60" s="54">
        <f>AR58+AR59</f>
        <v>154724</v>
      </c>
      <c r="AS60" s="3"/>
      <c r="AT60" s="53">
        <f>AT58+AT59</f>
        <v>20101</v>
      </c>
      <c r="AU60" s="32"/>
      <c r="AV60" s="54">
        <f>AV58+AV59</f>
        <v>174825</v>
      </c>
      <c r="AW60" s="32"/>
      <c r="AX60" s="31">
        <f>AX58+AX59</f>
        <v>70143</v>
      </c>
      <c r="AY60" s="3"/>
      <c r="AZ60" s="53">
        <f>AZ58+AZ59</f>
        <v>38984</v>
      </c>
      <c r="BA60" s="32"/>
      <c r="BB60" s="54">
        <f>BB58+BB59</f>
        <v>109127</v>
      </c>
      <c r="BC60" s="3"/>
      <c r="BD60" s="53">
        <f>BD58+BD59</f>
        <v>22899</v>
      </c>
      <c r="BE60" s="32"/>
      <c r="BF60" s="54">
        <f>BF58+BF59</f>
        <v>132026</v>
      </c>
    </row>
    <row r="61" spans="2:58">
      <c r="B61" s="1"/>
      <c r="C61" s="24" t="s">
        <v>53</v>
      </c>
      <c r="D61" s="24"/>
      <c r="E61" s="47"/>
      <c r="F61" s="49">
        <v>43573</v>
      </c>
      <c r="G61" s="3"/>
      <c r="H61" s="59">
        <v>1939</v>
      </c>
      <c r="I61" s="3"/>
      <c r="J61" s="58">
        <v>4065</v>
      </c>
      <c r="K61" s="33"/>
      <c r="L61" s="49">
        <v>6004</v>
      </c>
      <c r="M61" s="3"/>
      <c r="N61" s="58">
        <v>3430</v>
      </c>
      <c r="O61" s="33"/>
      <c r="P61" s="49">
        <v>9433</v>
      </c>
      <c r="Q61" s="3"/>
      <c r="R61" s="58">
        <v>-442</v>
      </c>
      <c r="S61" s="33"/>
      <c r="T61" s="49">
        <v>8991</v>
      </c>
      <c r="U61" s="3"/>
      <c r="V61" s="59">
        <v>5373</v>
      </c>
      <c r="W61" s="3"/>
      <c r="X61" s="58">
        <v>2091</v>
      </c>
      <c r="Y61" s="33"/>
      <c r="Z61" s="49">
        <v>7465</v>
      </c>
      <c r="AA61" s="3"/>
      <c r="AB61" s="58">
        <v>-49810</v>
      </c>
      <c r="AC61" s="33"/>
      <c r="AD61" s="49">
        <v>-42345</v>
      </c>
      <c r="AE61" s="3"/>
      <c r="AF61" s="58">
        <v>46422</v>
      </c>
      <c r="AG61" s="33"/>
      <c r="AH61" s="49">
        <v>4077</v>
      </c>
      <c r="AI61" s="3"/>
      <c r="AJ61" s="59">
        <v>17786</v>
      </c>
      <c r="AK61" s="3"/>
      <c r="AL61" s="58">
        <v>11317</v>
      </c>
      <c r="AM61" s="33"/>
      <c r="AN61" s="49">
        <v>29103</v>
      </c>
      <c r="AO61" s="3"/>
      <c r="AP61" s="58">
        <v>7007</v>
      </c>
      <c r="AQ61" s="33"/>
      <c r="AR61" s="49">
        <v>36110</v>
      </c>
      <c r="AS61" s="3"/>
      <c r="AT61" s="58">
        <v>4165</v>
      </c>
      <c r="AU61" s="33"/>
      <c r="AV61" s="49">
        <v>40275</v>
      </c>
      <c r="AW61" s="3"/>
      <c r="AX61" s="59">
        <v>10676</v>
      </c>
      <c r="AY61" s="3"/>
      <c r="AZ61" s="58">
        <v>6393</v>
      </c>
      <c r="BA61" s="33"/>
      <c r="BB61" s="49">
        <v>17069</v>
      </c>
      <c r="BC61" s="3"/>
      <c r="BD61" s="58">
        <v>5139</v>
      </c>
      <c r="BE61" s="33"/>
      <c r="BF61" s="49">
        <v>22208</v>
      </c>
    </row>
    <row r="62" spans="2:58">
      <c r="B62" s="1" t="s">
        <v>54</v>
      </c>
      <c r="C62" s="18"/>
      <c r="D62" s="18"/>
      <c r="E62" s="18"/>
      <c r="F62" s="54">
        <f>F60-F61</f>
        <v>219037</v>
      </c>
      <c r="G62" s="32"/>
      <c r="H62" s="31">
        <f>H60-H61</f>
        <v>8091</v>
      </c>
      <c r="I62" s="3"/>
      <c r="J62" s="53">
        <f>J60-J61</f>
        <v>27777</v>
      </c>
      <c r="K62" s="32"/>
      <c r="L62" s="54">
        <f>L60-L61</f>
        <v>35868</v>
      </c>
      <c r="M62" s="3"/>
      <c r="N62" s="53">
        <f>N60-N61</f>
        <v>12858</v>
      </c>
      <c r="O62" s="32"/>
      <c r="P62" s="54">
        <f>P60-P61</f>
        <v>48727</v>
      </c>
      <c r="Q62" s="3"/>
      <c r="R62" s="53">
        <f>R60-R61</f>
        <v>-5473</v>
      </c>
      <c r="S62" s="32"/>
      <c r="T62" s="54">
        <f>T60-T61</f>
        <v>43253</v>
      </c>
      <c r="U62" s="32"/>
      <c r="V62" s="31">
        <f>V60-V61</f>
        <v>37326</v>
      </c>
      <c r="W62" s="3"/>
      <c r="X62" s="53">
        <f>X60-X61</f>
        <v>10159</v>
      </c>
      <c r="Y62" s="32"/>
      <c r="Z62" s="54">
        <f>Z60-Z61</f>
        <v>47485</v>
      </c>
      <c r="AA62" s="3"/>
      <c r="AB62" s="53">
        <f>AB60-AB61</f>
        <v>-181216</v>
      </c>
      <c r="AC62" s="32"/>
      <c r="AD62" s="54">
        <f>AD60-AD61</f>
        <v>-133731</v>
      </c>
      <c r="AE62" s="3"/>
      <c r="AF62" s="53">
        <f>AF60-AF61</f>
        <v>287188</v>
      </c>
      <c r="AG62" s="32"/>
      <c r="AH62" s="54">
        <f>AH60-AH61</f>
        <v>153457</v>
      </c>
      <c r="AI62" s="32"/>
      <c r="AJ62" s="31">
        <f>AJ60-AJ61</f>
        <v>38993</v>
      </c>
      <c r="AK62" s="3"/>
      <c r="AL62" s="53">
        <f>AL60-AL61</f>
        <v>33148</v>
      </c>
      <c r="AM62" s="32"/>
      <c r="AN62" s="54">
        <f>AN60-AN61</f>
        <v>72140</v>
      </c>
      <c r="AO62" s="3"/>
      <c r="AP62" s="53">
        <f>AP60-AP61</f>
        <v>46474</v>
      </c>
      <c r="AQ62" s="32"/>
      <c r="AR62" s="54">
        <f>AR60-AR61</f>
        <v>118614</v>
      </c>
      <c r="AS62" s="3"/>
      <c r="AT62" s="53">
        <f>AT60-AT61</f>
        <v>15936</v>
      </c>
      <c r="AU62" s="32"/>
      <c r="AV62" s="54">
        <f>AV60-AV61</f>
        <v>134550</v>
      </c>
      <c r="AW62" s="32"/>
      <c r="AX62" s="31">
        <f>AX60-AX61</f>
        <v>59467</v>
      </c>
      <c r="AY62" s="3"/>
      <c r="AZ62" s="53">
        <f>AZ60-AZ61</f>
        <v>32591</v>
      </c>
      <c r="BA62" s="32"/>
      <c r="BB62" s="54">
        <f>BB60-BB61</f>
        <v>92058</v>
      </c>
      <c r="BC62" s="3"/>
      <c r="BD62" s="53">
        <f>BD60-BD61</f>
        <v>17760</v>
      </c>
      <c r="BE62" s="32"/>
      <c r="BF62" s="54">
        <f>BF60-BF61</f>
        <v>109818</v>
      </c>
    </row>
    <row r="63" spans="2:58">
      <c r="B63" s="48"/>
      <c r="C63" s="48" t="s">
        <v>55</v>
      </c>
      <c r="D63" s="48"/>
      <c r="E63" s="48"/>
      <c r="F63" s="36">
        <v>-49</v>
      </c>
      <c r="G63" s="3"/>
      <c r="H63" s="35">
        <v>-12</v>
      </c>
      <c r="I63" s="3"/>
      <c r="J63" s="58">
        <v>-12</v>
      </c>
      <c r="K63" s="33"/>
      <c r="L63" s="36">
        <v>-25</v>
      </c>
      <c r="M63" s="3"/>
      <c r="N63" s="58">
        <v>-12</v>
      </c>
      <c r="O63" s="33"/>
      <c r="P63" s="36">
        <v>-37</v>
      </c>
      <c r="Q63" s="3"/>
      <c r="R63" s="58">
        <v>-12</v>
      </c>
      <c r="S63" s="33"/>
      <c r="T63" s="36">
        <v>-49</v>
      </c>
      <c r="U63" s="3"/>
      <c r="V63" s="35">
        <v>-12</v>
      </c>
      <c r="W63" s="3"/>
      <c r="X63" s="58">
        <v>0</v>
      </c>
      <c r="Y63" s="33"/>
      <c r="Z63" s="36">
        <v>-12</v>
      </c>
      <c r="AA63" s="3"/>
      <c r="AB63" s="58">
        <v>0</v>
      </c>
      <c r="AC63" s="33"/>
      <c r="AD63" s="36">
        <v>-12</v>
      </c>
      <c r="AE63" s="3"/>
      <c r="AF63" s="58">
        <v>0</v>
      </c>
      <c r="AG63" s="33"/>
      <c r="AH63" s="36">
        <v>-12</v>
      </c>
      <c r="AI63" s="3"/>
      <c r="AJ63" s="35">
        <v>0</v>
      </c>
      <c r="AK63" s="3"/>
      <c r="AL63" s="58">
        <v>0</v>
      </c>
      <c r="AM63" s="33"/>
      <c r="AN63" s="36">
        <v>0</v>
      </c>
      <c r="AO63" s="3"/>
      <c r="AP63" s="58">
        <v>0</v>
      </c>
      <c r="AQ63" s="33"/>
      <c r="AR63" s="36">
        <v>0</v>
      </c>
      <c r="AS63" s="3"/>
      <c r="AT63" s="58">
        <v>0</v>
      </c>
      <c r="AU63" s="33"/>
      <c r="AV63" s="36">
        <v>0</v>
      </c>
      <c r="AW63" s="3"/>
      <c r="AX63" s="35">
        <v>0</v>
      </c>
      <c r="AY63" s="3"/>
      <c r="AZ63" s="58">
        <v>0</v>
      </c>
      <c r="BA63" s="33"/>
      <c r="BB63" s="36">
        <v>0</v>
      </c>
      <c r="BC63" s="3"/>
      <c r="BD63" s="58">
        <v>0</v>
      </c>
      <c r="BE63" s="33"/>
      <c r="BF63" s="36">
        <v>0</v>
      </c>
    </row>
    <row r="64" spans="2:58" ht="13.5" thickBot="1">
      <c r="B64" s="63" t="s">
        <v>56</v>
      </c>
      <c r="C64" s="52"/>
      <c r="D64" s="52"/>
      <c r="E64" s="52"/>
      <c r="F64" s="66">
        <f>F62+F63</f>
        <v>218988</v>
      </c>
      <c r="G64" s="26"/>
      <c r="H64" s="64">
        <f>H62+H63</f>
        <v>8079</v>
      </c>
      <c r="I64" s="28"/>
      <c r="J64" s="65">
        <f>J62+J63</f>
        <v>27765</v>
      </c>
      <c r="K64" s="26"/>
      <c r="L64" s="66">
        <f>L62+L63</f>
        <v>35843</v>
      </c>
      <c r="M64" s="28"/>
      <c r="N64" s="65">
        <f>N62+N63</f>
        <v>12846</v>
      </c>
      <c r="O64" s="26"/>
      <c r="P64" s="66">
        <f>P62+P63</f>
        <v>48690</v>
      </c>
      <c r="Q64" s="28"/>
      <c r="R64" s="65">
        <f>R62+R63</f>
        <v>-5485</v>
      </c>
      <c r="S64" s="26"/>
      <c r="T64" s="66">
        <f>T62+T63</f>
        <v>43204</v>
      </c>
      <c r="U64" s="26"/>
      <c r="V64" s="64">
        <f>V62+V63</f>
        <v>37314</v>
      </c>
      <c r="W64" s="28"/>
      <c r="X64" s="65">
        <f>X62+X63</f>
        <v>10159</v>
      </c>
      <c r="Y64" s="26"/>
      <c r="Z64" s="66">
        <f>Z62+Z63</f>
        <v>47473</v>
      </c>
      <c r="AA64" s="28"/>
      <c r="AB64" s="65">
        <f>AB62+AB63</f>
        <v>-181216</v>
      </c>
      <c r="AC64" s="26"/>
      <c r="AD64" s="66">
        <f>AD62+AD63</f>
        <v>-133743</v>
      </c>
      <c r="AE64" s="28"/>
      <c r="AF64" s="65">
        <f>AF62+AF63</f>
        <v>287188</v>
      </c>
      <c r="AG64" s="26"/>
      <c r="AH64" s="66">
        <f>AH62+AH63</f>
        <v>153445</v>
      </c>
      <c r="AI64" s="26"/>
      <c r="AJ64" s="64">
        <f>AJ62+AJ63</f>
        <v>38993</v>
      </c>
      <c r="AK64" s="28"/>
      <c r="AL64" s="65">
        <f>AL62+AL63</f>
        <v>33148</v>
      </c>
      <c r="AM64" s="26"/>
      <c r="AN64" s="66">
        <f>AN62+AN63</f>
        <v>72140</v>
      </c>
      <c r="AO64" s="28"/>
      <c r="AP64" s="65">
        <f>AP62+AP63</f>
        <v>46474</v>
      </c>
      <c r="AQ64" s="26"/>
      <c r="AR64" s="66">
        <f>AR62+AR63</f>
        <v>118614</v>
      </c>
      <c r="AS64" s="28"/>
      <c r="AT64" s="65">
        <f>AT62+AT63</f>
        <v>15936</v>
      </c>
      <c r="AU64" s="26"/>
      <c r="AV64" s="66">
        <f>AV62+AV63</f>
        <v>134550</v>
      </c>
      <c r="AW64" s="26"/>
      <c r="AX64" s="64">
        <f>AX62+AX63</f>
        <v>59467</v>
      </c>
      <c r="AY64" s="28"/>
      <c r="AZ64" s="65">
        <f>AZ62+AZ63</f>
        <v>32591</v>
      </c>
      <c r="BA64" s="26"/>
      <c r="BB64" s="66">
        <f>BB62+BB63</f>
        <v>92058</v>
      </c>
      <c r="BC64" s="28"/>
      <c r="BD64" s="65">
        <f>BD62+BD63</f>
        <v>17760</v>
      </c>
      <c r="BE64" s="26"/>
      <c r="BF64" s="66">
        <f>BF62+BF63</f>
        <v>109818</v>
      </c>
    </row>
    <row r="65" spans="2:58" ht="13.5" thickTop="1">
      <c r="B65" s="45"/>
      <c r="C65" s="18"/>
      <c r="D65" s="18"/>
      <c r="E65" s="18"/>
      <c r="F65" s="36"/>
      <c r="G65" s="3"/>
      <c r="H65" s="35"/>
      <c r="I65" s="3"/>
      <c r="J65" s="22"/>
      <c r="K65" s="33"/>
      <c r="L65" s="36"/>
      <c r="M65" s="3"/>
      <c r="N65" s="22"/>
      <c r="O65" s="33"/>
      <c r="P65" s="36"/>
      <c r="Q65" s="3"/>
      <c r="R65" s="22"/>
      <c r="S65" s="33"/>
      <c r="T65" s="36"/>
      <c r="U65" s="3"/>
      <c r="V65" s="35"/>
      <c r="W65" s="3"/>
      <c r="X65" s="22"/>
      <c r="Y65" s="33"/>
      <c r="Z65" s="36"/>
      <c r="AA65" s="3"/>
      <c r="AB65" s="22"/>
      <c r="AC65" s="33"/>
      <c r="AD65" s="36"/>
      <c r="AE65" s="3"/>
      <c r="AF65" s="22"/>
      <c r="AG65" s="33"/>
      <c r="AH65" s="36"/>
      <c r="AI65" s="3"/>
      <c r="AJ65" s="35"/>
      <c r="AK65" s="3"/>
      <c r="AL65" s="22"/>
      <c r="AM65" s="33"/>
      <c r="AN65" s="36"/>
      <c r="AO65" s="3"/>
      <c r="AP65" s="22"/>
      <c r="AQ65" s="33"/>
      <c r="AR65" s="36"/>
      <c r="AS65" s="3"/>
      <c r="AT65" s="22"/>
      <c r="AU65" s="33"/>
      <c r="AV65" s="36"/>
      <c r="AW65" s="3"/>
      <c r="AX65" s="35"/>
      <c r="AY65" s="3"/>
      <c r="AZ65" s="22"/>
      <c r="BA65" s="33"/>
      <c r="BB65" s="36"/>
      <c r="BC65" s="3"/>
      <c r="BD65" s="22"/>
      <c r="BE65" s="33"/>
      <c r="BF65" s="36"/>
    </row>
    <row r="66" spans="2:58">
      <c r="B66" s="1" t="s">
        <v>57</v>
      </c>
      <c r="C66" s="18"/>
      <c r="D66" s="18"/>
      <c r="E66" s="18"/>
      <c r="F66" s="36">
        <v>108645</v>
      </c>
      <c r="G66" s="3"/>
      <c r="H66" s="35">
        <v>109151</v>
      </c>
      <c r="I66" s="3"/>
      <c r="J66" s="22">
        <v>109464</v>
      </c>
      <c r="K66" s="33"/>
      <c r="L66" s="36">
        <v>109308</v>
      </c>
      <c r="M66" s="3"/>
      <c r="N66" s="22">
        <v>110007</v>
      </c>
      <c r="O66" s="33"/>
      <c r="P66" s="36">
        <v>109542</v>
      </c>
      <c r="Q66" s="3"/>
      <c r="R66" s="22">
        <v>110233</v>
      </c>
      <c r="S66" s="33"/>
      <c r="T66" s="36">
        <v>109716</v>
      </c>
      <c r="U66" s="3"/>
      <c r="V66" s="35">
        <v>110298</v>
      </c>
      <c r="W66" s="3"/>
      <c r="X66" s="22">
        <v>110533</v>
      </c>
      <c r="Y66" s="33"/>
      <c r="Z66" s="36">
        <v>110416</v>
      </c>
      <c r="AA66" s="3"/>
      <c r="AB66" s="22">
        <v>110751</v>
      </c>
      <c r="AC66" s="33"/>
      <c r="AD66" s="36">
        <v>110529</v>
      </c>
      <c r="AE66" s="3"/>
      <c r="AF66" s="22">
        <v>110978</v>
      </c>
      <c r="AG66" s="33"/>
      <c r="AH66" s="36">
        <v>110642</v>
      </c>
      <c r="AI66" s="3"/>
      <c r="AJ66" s="35">
        <v>111364</v>
      </c>
      <c r="AK66" s="3"/>
      <c r="AL66" s="22">
        <v>111803</v>
      </c>
      <c r="AM66" s="33"/>
      <c r="AN66" s="36">
        <v>111585</v>
      </c>
      <c r="AO66" s="3"/>
      <c r="AP66" s="22">
        <v>112453</v>
      </c>
      <c r="AQ66" s="33"/>
      <c r="AR66" s="36">
        <v>111878</v>
      </c>
      <c r="AS66" s="3"/>
      <c r="AT66" s="22">
        <v>113369</v>
      </c>
      <c r="AU66" s="33"/>
      <c r="AV66" s="36">
        <v>112254</v>
      </c>
      <c r="AW66" s="3"/>
      <c r="AX66" s="35">
        <v>113955</v>
      </c>
      <c r="AY66" s="3"/>
      <c r="AZ66" s="22">
        <v>114324</v>
      </c>
      <c r="BA66" s="33"/>
      <c r="BB66" s="36">
        <v>114140</v>
      </c>
      <c r="BC66" s="3"/>
      <c r="BD66" s="22">
        <v>114623</v>
      </c>
      <c r="BE66" s="33"/>
      <c r="BF66" s="36">
        <v>114303</v>
      </c>
    </row>
    <row r="67" spans="2:58">
      <c r="B67" s="1" t="s">
        <v>58</v>
      </c>
      <c r="C67" s="24"/>
      <c r="D67" s="24"/>
      <c r="E67" s="24"/>
      <c r="F67" s="72"/>
      <c r="G67" s="3"/>
      <c r="H67" s="69"/>
      <c r="I67" s="3"/>
      <c r="J67" s="22"/>
      <c r="K67" s="70"/>
      <c r="L67" s="72"/>
      <c r="M67" s="3"/>
      <c r="N67" s="22"/>
      <c r="O67" s="70"/>
      <c r="P67" s="72"/>
      <c r="Q67" s="3"/>
      <c r="R67" s="22"/>
      <c r="S67" s="70"/>
      <c r="T67" s="72"/>
      <c r="U67" s="3"/>
      <c r="V67" s="69"/>
      <c r="W67" s="3"/>
      <c r="X67" s="22"/>
      <c r="Y67" s="70"/>
      <c r="Z67" s="72"/>
      <c r="AA67" s="3"/>
      <c r="AB67" s="22"/>
      <c r="AC67" s="70"/>
      <c r="AD67" s="72"/>
      <c r="AE67" s="3"/>
      <c r="AF67" s="22"/>
      <c r="AG67" s="70"/>
      <c r="AH67" s="72"/>
      <c r="AI67" s="3"/>
      <c r="AJ67" s="69"/>
      <c r="AK67" s="3"/>
      <c r="AL67" s="22"/>
      <c r="AM67" s="70"/>
      <c r="AN67" s="72"/>
      <c r="AO67" s="3"/>
      <c r="AP67" s="22"/>
      <c r="AQ67" s="70"/>
      <c r="AR67" s="72"/>
      <c r="AS67" s="3"/>
      <c r="AT67" s="22"/>
      <c r="AU67" s="70"/>
      <c r="AV67" s="72"/>
      <c r="AW67" s="3"/>
      <c r="AX67" s="69"/>
      <c r="AY67" s="3"/>
      <c r="AZ67" s="22"/>
      <c r="BA67" s="70"/>
      <c r="BB67" s="72"/>
      <c r="BC67" s="3"/>
      <c r="BD67" s="22"/>
      <c r="BE67" s="70"/>
      <c r="BF67" s="72"/>
    </row>
    <row r="68" spans="2:58">
      <c r="B68" s="1"/>
      <c r="C68" s="24" t="s">
        <v>59</v>
      </c>
      <c r="D68" s="24"/>
      <c r="E68" s="24"/>
      <c r="F68" s="21"/>
      <c r="G68" s="3"/>
      <c r="H68" s="20"/>
      <c r="I68" s="3"/>
      <c r="J68" s="22"/>
      <c r="K68" s="3"/>
      <c r="L68" s="21"/>
      <c r="M68" s="3"/>
      <c r="N68" s="22"/>
      <c r="O68" s="3"/>
      <c r="P68" s="21"/>
      <c r="Q68" s="3"/>
      <c r="R68" s="22"/>
      <c r="S68" s="3"/>
      <c r="T68" s="21"/>
      <c r="U68" s="3"/>
      <c r="V68" s="20"/>
      <c r="W68" s="3"/>
      <c r="X68" s="22"/>
      <c r="Y68" s="3"/>
      <c r="Z68" s="21"/>
      <c r="AA68" s="3"/>
      <c r="AB68" s="22"/>
      <c r="AC68" s="3"/>
      <c r="AD68" s="21"/>
      <c r="AE68" s="3"/>
      <c r="AF68" s="22"/>
      <c r="AG68" s="3"/>
      <c r="AH68" s="21"/>
      <c r="AI68" s="3"/>
      <c r="AJ68" s="20"/>
      <c r="AK68" s="3"/>
      <c r="AL68" s="22"/>
      <c r="AM68" s="3"/>
      <c r="AN68" s="21"/>
      <c r="AO68" s="3"/>
      <c r="AP68" s="22"/>
      <c r="AQ68" s="3"/>
      <c r="AR68" s="21"/>
      <c r="AS68" s="3"/>
      <c r="AT68" s="22"/>
      <c r="AU68" s="3"/>
      <c r="AV68" s="21"/>
      <c r="AW68" s="3"/>
      <c r="AX68" s="20"/>
      <c r="AY68" s="3"/>
      <c r="AZ68" s="22"/>
      <c r="BA68" s="3"/>
      <c r="BB68" s="21"/>
      <c r="BC68" s="3"/>
      <c r="BD68" s="22"/>
      <c r="BE68" s="3"/>
      <c r="BF68" s="21"/>
    </row>
    <row r="69" spans="2:58">
      <c r="B69" s="45"/>
      <c r="C69" s="24"/>
      <c r="D69" s="24" t="s">
        <v>60</v>
      </c>
      <c r="E69" s="24"/>
      <c r="F69" s="77">
        <v>2.02</v>
      </c>
      <c r="G69" s="3"/>
      <c r="H69" s="76">
        <v>7.0000000000000007E-2</v>
      </c>
      <c r="I69" s="3"/>
      <c r="J69" s="71">
        <v>0.25</v>
      </c>
      <c r="K69" s="75"/>
      <c r="L69" s="77">
        <v>0.33</v>
      </c>
      <c r="M69" s="3"/>
      <c r="N69" s="71">
        <v>0.12</v>
      </c>
      <c r="O69" s="75"/>
      <c r="P69" s="77">
        <v>0.44</v>
      </c>
      <c r="Q69" s="3"/>
      <c r="R69" s="71">
        <v>-0.05</v>
      </c>
      <c r="S69" s="75"/>
      <c r="T69" s="77">
        <v>0.39</v>
      </c>
      <c r="U69" s="3"/>
      <c r="V69" s="76">
        <v>0.34</v>
      </c>
      <c r="W69" s="3"/>
      <c r="X69" s="71">
        <v>0.09</v>
      </c>
      <c r="Y69" s="75"/>
      <c r="Z69" s="77">
        <v>0.43</v>
      </c>
      <c r="AA69" s="3"/>
      <c r="AB69" s="71">
        <v>-1.64</v>
      </c>
      <c r="AC69" s="75"/>
      <c r="AD69" s="77">
        <v>-1.21</v>
      </c>
      <c r="AE69" s="3"/>
      <c r="AF69" s="71">
        <v>2.59</v>
      </c>
      <c r="AG69" s="75"/>
      <c r="AH69" s="77">
        <v>1.39</v>
      </c>
      <c r="AI69" s="3"/>
      <c r="AJ69" s="76">
        <v>0.35</v>
      </c>
      <c r="AK69" s="3"/>
      <c r="AL69" s="71">
        <v>0.3</v>
      </c>
      <c r="AM69" s="75"/>
      <c r="AN69" s="77">
        <v>0.65</v>
      </c>
      <c r="AO69" s="3"/>
      <c r="AP69" s="71">
        <v>0.41</v>
      </c>
      <c r="AQ69" s="75"/>
      <c r="AR69" s="77">
        <v>1.06</v>
      </c>
      <c r="AS69" s="3"/>
      <c r="AT69" s="71">
        <v>0.14000000000000001</v>
      </c>
      <c r="AU69" s="75"/>
      <c r="AV69" s="77">
        <v>1.2</v>
      </c>
      <c r="AW69" s="3"/>
      <c r="AX69" s="76">
        <v>0.52</v>
      </c>
      <c r="AY69" s="3"/>
      <c r="AZ69" s="71">
        <v>0.28999999999999998</v>
      </c>
      <c r="BA69" s="75"/>
      <c r="BB69" s="77">
        <v>0.81</v>
      </c>
      <c r="BC69" s="3"/>
      <c r="BD69" s="71">
        <v>0.15</v>
      </c>
      <c r="BE69" s="75"/>
      <c r="BF69" s="77">
        <v>0.96</v>
      </c>
    </row>
    <row r="70" spans="2:58">
      <c r="B70" s="45"/>
      <c r="C70" s="24" t="s">
        <v>61</v>
      </c>
      <c r="D70" s="24"/>
      <c r="E70" s="24"/>
      <c r="F70" s="81">
        <v>0</v>
      </c>
      <c r="G70" s="3"/>
      <c r="H70" s="79">
        <v>0</v>
      </c>
      <c r="I70" s="3"/>
      <c r="J70" s="80">
        <v>0</v>
      </c>
      <c r="K70" s="78"/>
      <c r="L70" s="81">
        <v>0</v>
      </c>
      <c r="M70" s="3"/>
      <c r="N70" s="80">
        <v>0</v>
      </c>
      <c r="O70" s="78"/>
      <c r="P70" s="81">
        <v>0</v>
      </c>
      <c r="Q70" s="3"/>
      <c r="R70" s="80">
        <v>0</v>
      </c>
      <c r="S70" s="78"/>
      <c r="T70" s="81">
        <v>0</v>
      </c>
      <c r="U70" s="3"/>
      <c r="V70" s="79">
        <v>0</v>
      </c>
      <c r="W70" s="3"/>
      <c r="X70" s="80">
        <v>0</v>
      </c>
      <c r="Y70" s="78"/>
      <c r="Z70" s="81">
        <v>0</v>
      </c>
      <c r="AA70" s="3"/>
      <c r="AB70" s="80">
        <v>0</v>
      </c>
      <c r="AC70" s="78"/>
      <c r="AD70" s="81">
        <v>0</v>
      </c>
      <c r="AE70" s="3"/>
      <c r="AF70" s="80">
        <v>0</v>
      </c>
      <c r="AG70" s="78"/>
      <c r="AH70" s="81">
        <v>0</v>
      </c>
      <c r="AI70" s="3"/>
      <c r="AJ70" s="79">
        <v>0</v>
      </c>
      <c r="AK70" s="3"/>
      <c r="AL70" s="80">
        <v>0</v>
      </c>
      <c r="AM70" s="78"/>
      <c r="AN70" s="81">
        <v>0</v>
      </c>
      <c r="AO70" s="3"/>
      <c r="AP70" s="80">
        <v>0</v>
      </c>
      <c r="AQ70" s="78"/>
      <c r="AR70" s="81">
        <v>0</v>
      </c>
      <c r="AS70" s="3"/>
      <c r="AT70" s="80">
        <v>0</v>
      </c>
      <c r="AU70" s="78"/>
      <c r="AV70" s="81">
        <v>0</v>
      </c>
      <c r="AW70" s="3"/>
      <c r="AX70" s="79">
        <v>0</v>
      </c>
      <c r="AY70" s="3"/>
      <c r="AZ70" s="80">
        <v>0</v>
      </c>
      <c r="BA70" s="78"/>
      <c r="BB70" s="81">
        <v>0</v>
      </c>
      <c r="BC70" s="3"/>
      <c r="BD70" s="80">
        <v>0</v>
      </c>
      <c r="BE70" s="78"/>
      <c r="BF70" s="81">
        <v>0</v>
      </c>
    </row>
    <row r="71" spans="2:58">
      <c r="B71" s="45"/>
      <c r="C71" s="24" t="s">
        <v>62</v>
      </c>
      <c r="D71" s="24"/>
      <c r="E71" s="24"/>
      <c r="F71" s="83">
        <f>F69+F70</f>
        <v>2.02</v>
      </c>
      <c r="G71" s="68"/>
      <c r="H71" s="67">
        <f>H69+H70</f>
        <v>7.0000000000000007E-2</v>
      </c>
      <c r="I71" s="3"/>
      <c r="J71" s="82">
        <f>J69+J70</f>
        <v>0.25</v>
      </c>
      <c r="K71" s="68"/>
      <c r="L71" s="83">
        <f>L69+L70</f>
        <v>0.33</v>
      </c>
      <c r="M71" s="3"/>
      <c r="N71" s="82">
        <f>N69+N70</f>
        <v>0.12</v>
      </c>
      <c r="O71" s="68"/>
      <c r="P71" s="83">
        <f>P69+P70</f>
        <v>0.44</v>
      </c>
      <c r="Q71" s="3"/>
      <c r="R71" s="82">
        <f>R69+R70</f>
        <v>-0.05</v>
      </c>
      <c r="S71" s="68"/>
      <c r="T71" s="83">
        <f>T69+T70</f>
        <v>0.39</v>
      </c>
      <c r="U71" s="68"/>
      <c r="V71" s="67">
        <f>V69+V70</f>
        <v>0.34</v>
      </c>
      <c r="W71" s="3"/>
      <c r="X71" s="82">
        <f>X69+X70</f>
        <v>0.09</v>
      </c>
      <c r="Y71" s="68"/>
      <c r="Z71" s="83">
        <f>Z69+Z70</f>
        <v>0.43</v>
      </c>
      <c r="AA71" s="3"/>
      <c r="AB71" s="82">
        <f>AB69+AB70</f>
        <v>-1.64</v>
      </c>
      <c r="AC71" s="68"/>
      <c r="AD71" s="83">
        <f>AD69+AD70</f>
        <v>-1.21</v>
      </c>
      <c r="AE71" s="3"/>
      <c r="AF71" s="82">
        <f>AF69+AF70</f>
        <v>2.59</v>
      </c>
      <c r="AG71" s="68"/>
      <c r="AH71" s="83">
        <f>AH69+AH70</f>
        <v>1.39</v>
      </c>
      <c r="AI71" s="68"/>
      <c r="AJ71" s="67">
        <f>AJ69+AJ70</f>
        <v>0.35</v>
      </c>
      <c r="AK71" s="3"/>
      <c r="AL71" s="82">
        <f>AL69+AL70</f>
        <v>0.3</v>
      </c>
      <c r="AM71" s="68"/>
      <c r="AN71" s="83">
        <f>AN69+AN70</f>
        <v>0.65</v>
      </c>
      <c r="AO71" s="3"/>
      <c r="AP71" s="82">
        <f>AP69+AP70</f>
        <v>0.41</v>
      </c>
      <c r="AQ71" s="68"/>
      <c r="AR71" s="83">
        <f>AR69+AR70</f>
        <v>1.06</v>
      </c>
      <c r="AS71" s="3"/>
      <c r="AT71" s="82">
        <f>AT69+AT70</f>
        <v>0.14000000000000001</v>
      </c>
      <c r="AU71" s="68"/>
      <c r="AV71" s="83">
        <f>AV69+AV70</f>
        <v>1.2</v>
      </c>
      <c r="AW71" s="68"/>
      <c r="AX71" s="67">
        <f>AX69+AX70</f>
        <v>0.52</v>
      </c>
      <c r="AY71" s="3"/>
      <c r="AZ71" s="82">
        <f>AZ69+AZ70</f>
        <v>0.28999999999999998</v>
      </c>
      <c r="BA71" s="68"/>
      <c r="BB71" s="83">
        <f>BB69+BB70</f>
        <v>0.81</v>
      </c>
      <c r="BC71" s="3"/>
      <c r="BD71" s="82">
        <f>BD69+BD70</f>
        <v>0.15</v>
      </c>
      <c r="BE71" s="68"/>
      <c r="BF71" s="83">
        <f>BF69+BF70</f>
        <v>0.96</v>
      </c>
    </row>
    <row r="72" spans="2:58">
      <c r="B72" s="45"/>
      <c r="C72" s="24"/>
      <c r="D72" s="24"/>
      <c r="E72" s="24"/>
      <c r="F72" s="21"/>
      <c r="G72" s="3"/>
      <c r="H72" s="20"/>
      <c r="I72" s="3"/>
      <c r="J72" s="22"/>
      <c r="K72" s="3"/>
      <c r="L72" s="21"/>
      <c r="M72" s="3"/>
      <c r="N72" s="22"/>
      <c r="O72" s="3"/>
      <c r="P72" s="21"/>
      <c r="Q72" s="3"/>
      <c r="R72" s="22"/>
      <c r="S72" s="3"/>
      <c r="T72" s="21"/>
      <c r="U72" s="3"/>
      <c r="V72" s="20"/>
      <c r="W72" s="3"/>
      <c r="X72" s="22"/>
      <c r="Y72" s="3"/>
      <c r="Z72" s="21"/>
      <c r="AA72" s="3"/>
      <c r="AB72" s="22"/>
      <c r="AC72" s="3"/>
      <c r="AD72" s="21"/>
      <c r="AE72" s="3"/>
      <c r="AF72" s="22"/>
      <c r="AG72" s="3"/>
      <c r="AH72" s="21"/>
      <c r="AI72" s="3"/>
      <c r="AJ72" s="20"/>
      <c r="AK72" s="3"/>
      <c r="AL72" s="22"/>
      <c r="AM72" s="3"/>
      <c r="AN72" s="21"/>
      <c r="AO72" s="3"/>
      <c r="AP72" s="22"/>
      <c r="AQ72" s="3"/>
      <c r="AR72" s="21"/>
      <c r="AS72" s="3"/>
      <c r="AT72" s="22"/>
      <c r="AU72" s="3"/>
      <c r="AV72" s="21"/>
      <c r="AW72" s="3"/>
      <c r="AX72" s="20"/>
      <c r="AY72" s="3"/>
      <c r="AZ72" s="22"/>
      <c r="BA72" s="3"/>
      <c r="BB72" s="21"/>
      <c r="BC72" s="3"/>
      <c r="BD72" s="22"/>
      <c r="BE72" s="3"/>
      <c r="BF72" s="21"/>
    </row>
    <row r="73" spans="2:58">
      <c r="B73" s="1" t="s">
        <v>63</v>
      </c>
      <c r="C73" s="18"/>
      <c r="D73" s="18"/>
      <c r="E73" s="18"/>
      <c r="F73" s="36">
        <v>109910</v>
      </c>
      <c r="G73" s="3"/>
      <c r="H73" s="35">
        <v>110209</v>
      </c>
      <c r="I73" s="3"/>
      <c r="J73" s="22">
        <v>110903</v>
      </c>
      <c r="K73" s="33"/>
      <c r="L73" s="36">
        <v>110660</v>
      </c>
      <c r="M73" s="3"/>
      <c r="N73" s="22">
        <v>111346</v>
      </c>
      <c r="O73" s="33"/>
      <c r="P73" s="36">
        <v>110888</v>
      </c>
      <c r="Q73" s="3"/>
      <c r="R73" s="22">
        <v>110233</v>
      </c>
      <c r="S73" s="33"/>
      <c r="T73" s="36">
        <v>111029</v>
      </c>
      <c r="U73" s="3"/>
      <c r="V73" s="35">
        <v>111679</v>
      </c>
      <c r="W73" s="3"/>
      <c r="X73" s="22">
        <v>111595</v>
      </c>
      <c r="Y73" s="33"/>
      <c r="Z73" s="36">
        <v>111597</v>
      </c>
      <c r="AA73" s="3"/>
      <c r="AB73" s="22">
        <v>110751</v>
      </c>
      <c r="AC73" s="33"/>
      <c r="AD73" s="36">
        <v>110529</v>
      </c>
      <c r="AE73" s="3"/>
      <c r="AF73" s="22">
        <v>112195</v>
      </c>
      <c r="AG73" s="33"/>
      <c r="AH73" s="36">
        <v>111815</v>
      </c>
      <c r="AI73" s="3"/>
      <c r="AJ73" s="35">
        <v>112520</v>
      </c>
      <c r="AK73" s="3"/>
      <c r="AL73" s="22">
        <v>112884</v>
      </c>
      <c r="AM73" s="33"/>
      <c r="AN73" s="36">
        <v>112723</v>
      </c>
      <c r="AO73" s="3"/>
      <c r="AP73" s="22">
        <v>113730</v>
      </c>
      <c r="AQ73" s="33"/>
      <c r="AR73" s="36">
        <v>113026</v>
      </c>
      <c r="AS73" s="3"/>
      <c r="AT73" s="22">
        <v>115312</v>
      </c>
      <c r="AU73" s="33"/>
      <c r="AV73" s="36">
        <v>113567</v>
      </c>
      <c r="AW73" s="3"/>
      <c r="AX73" s="35">
        <v>115888</v>
      </c>
      <c r="AY73" s="3"/>
      <c r="AZ73" s="22">
        <v>115733</v>
      </c>
      <c r="BA73" s="33"/>
      <c r="BB73" s="36">
        <v>115800</v>
      </c>
      <c r="BC73" s="3"/>
      <c r="BD73" s="22">
        <v>115629</v>
      </c>
      <c r="BE73" s="33"/>
      <c r="BF73" s="36">
        <v>115685</v>
      </c>
    </row>
    <row r="74" spans="2:58">
      <c r="B74" s="1" t="s">
        <v>64</v>
      </c>
      <c r="C74" s="24"/>
      <c r="D74" s="24"/>
      <c r="E74" s="24"/>
      <c r="F74" s="73"/>
      <c r="G74" s="3"/>
      <c r="H74" s="84"/>
      <c r="I74" s="3"/>
      <c r="J74" s="22"/>
      <c r="K74" s="74"/>
      <c r="L74" s="73"/>
      <c r="M74" s="3"/>
      <c r="N74" s="22"/>
      <c r="O74" s="74"/>
      <c r="P74" s="73"/>
      <c r="Q74" s="3"/>
      <c r="R74" s="22"/>
      <c r="S74" s="74"/>
      <c r="T74" s="73"/>
      <c r="U74" s="3"/>
      <c r="V74" s="84"/>
      <c r="W74" s="3"/>
      <c r="X74" s="22"/>
      <c r="Y74" s="74"/>
      <c r="Z74" s="73"/>
      <c r="AA74" s="3"/>
      <c r="AB74" s="22"/>
      <c r="AC74" s="74"/>
      <c r="AD74" s="73"/>
      <c r="AE74" s="3"/>
      <c r="AF74" s="22"/>
      <c r="AG74" s="74"/>
      <c r="AH74" s="73"/>
      <c r="AI74" s="3"/>
      <c r="AJ74" s="84"/>
      <c r="AK74" s="3"/>
      <c r="AL74" s="22"/>
      <c r="AM74" s="74"/>
      <c r="AN74" s="73"/>
      <c r="AO74" s="3"/>
      <c r="AP74" s="22"/>
      <c r="AQ74" s="74"/>
      <c r="AR74" s="73"/>
      <c r="AS74" s="3"/>
      <c r="AT74" s="22"/>
      <c r="AU74" s="74"/>
      <c r="AV74" s="73"/>
      <c r="AW74" s="3"/>
      <c r="AX74" s="84"/>
      <c r="AY74" s="3"/>
      <c r="AZ74" s="22"/>
      <c r="BA74" s="74"/>
      <c r="BB74" s="73"/>
      <c r="BC74" s="3"/>
      <c r="BD74" s="22"/>
      <c r="BE74" s="74"/>
      <c r="BF74" s="73"/>
    </row>
    <row r="75" spans="2:58">
      <c r="B75" s="1"/>
      <c r="C75" s="24" t="s">
        <v>65</v>
      </c>
      <c r="D75" s="24"/>
      <c r="E75" s="24"/>
      <c r="F75" s="21"/>
      <c r="G75" s="3"/>
      <c r="H75" s="20"/>
      <c r="I75" s="3"/>
      <c r="J75" s="22"/>
      <c r="K75" s="3"/>
      <c r="L75" s="21"/>
      <c r="M75" s="3"/>
      <c r="N75" s="22"/>
      <c r="O75" s="3"/>
      <c r="P75" s="21"/>
      <c r="Q75" s="3"/>
      <c r="R75" s="22"/>
      <c r="S75" s="3"/>
      <c r="T75" s="21"/>
      <c r="U75" s="3"/>
      <c r="V75" s="20"/>
      <c r="W75" s="3"/>
      <c r="X75" s="22"/>
      <c r="Y75" s="3"/>
      <c r="Z75" s="21"/>
      <c r="AA75" s="3"/>
      <c r="AB75" s="22"/>
      <c r="AC75" s="3"/>
      <c r="AD75" s="21"/>
      <c r="AE75" s="3"/>
      <c r="AF75" s="22"/>
      <c r="AG75" s="3"/>
      <c r="AH75" s="21"/>
      <c r="AI75" s="3"/>
      <c r="AJ75" s="20"/>
      <c r="AK75" s="3"/>
      <c r="AL75" s="22"/>
      <c r="AM75" s="3"/>
      <c r="AN75" s="21"/>
      <c r="AO75" s="3"/>
      <c r="AP75" s="22"/>
      <c r="AQ75" s="3"/>
      <c r="AR75" s="21"/>
      <c r="AS75" s="3"/>
      <c r="AT75" s="22"/>
      <c r="AU75" s="3"/>
      <c r="AV75" s="21"/>
      <c r="AW75" s="3"/>
      <c r="AX75" s="20"/>
      <c r="AY75" s="3"/>
      <c r="AZ75" s="22"/>
      <c r="BA75" s="3"/>
      <c r="BB75" s="21"/>
      <c r="BC75" s="3"/>
      <c r="BD75" s="22"/>
      <c r="BE75" s="3"/>
      <c r="BF75" s="21"/>
    </row>
    <row r="76" spans="2:58">
      <c r="B76" s="45"/>
      <c r="C76" s="24"/>
      <c r="D76" s="24" t="s">
        <v>60</v>
      </c>
      <c r="E76" s="24"/>
      <c r="F76" s="86">
        <v>1.98</v>
      </c>
      <c r="G76" s="3"/>
      <c r="H76" s="85">
        <v>7.0000000000000007E-2</v>
      </c>
      <c r="I76" s="3"/>
      <c r="J76" s="71">
        <v>0.25</v>
      </c>
      <c r="K76" s="87"/>
      <c r="L76" s="86">
        <v>0.32</v>
      </c>
      <c r="M76" s="3"/>
      <c r="N76" s="71">
        <v>0.11</v>
      </c>
      <c r="O76" s="87"/>
      <c r="P76" s="86">
        <v>0.44</v>
      </c>
      <c r="Q76" s="3"/>
      <c r="R76" s="71">
        <v>-0.05</v>
      </c>
      <c r="S76" s="87"/>
      <c r="T76" s="86">
        <v>0.39</v>
      </c>
      <c r="U76" s="3"/>
      <c r="V76" s="85">
        <v>0.33</v>
      </c>
      <c r="W76" s="3"/>
      <c r="X76" s="71">
        <v>0.09</v>
      </c>
      <c r="Y76" s="87"/>
      <c r="Z76" s="86">
        <v>0.42</v>
      </c>
      <c r="AA76" s="3"/>
      <c r="AB76" s="71">
        <v>-1.64</v>
      </c>
      <c r="AC76" s="87"/>
      <c r="AD76" s="86">
        <v>-1.21</v>
      </c>
      <c r="AE76" s="3"/>
      <c r="AF76" s="71">
        <v>2.54</v>
      </c>
      <c r="AG76" s="87"/>
      <c r="AH76" s="86">
        <v>1.37</v>
      </c>
      <c r="AI76" s="3"/>
      <c r="AJ76" s="85">
        <v>0.34</v>
      </c>
      <c r="AK76" s="3"/>
      <c r="AL76" s="71">
        <v>0.28999999999999998</v>
      </c>
      <c r="AM76" s="87"/>
      <c r="AN76" s="86">
        <v>0.63</v>
      </c>
      <c r="AO76" s="3"/>
      <c r="AP76" s="71">
        <v>0.41</v>
      </c>
      <c r="AQ76" s="87"/>
      <c r="AR76" s="86">
        <v>1.04</v>
      </c>
      <c r="AS76" s="3"/>
      <c r="AT76" s="71">
        <v>0.14000000000000001</v>
      </c>
      <c r="AU76" s="87"/>
      <c r="AV76" s="86">
        <v>1.17</v>
      </c>
      <c r="AW76" s="3"/>
      <c r="AX76" s="85">
        <v>0.5</v>
      </c>
      <c r="AY76" s="3"/>
      <c r="AZ76" s="71">
        <v>0.28000000000000003</v>
      </c>
      <c r="BA76" s="87"/>
      <c r="BB76" s="86">
        <v>0.78</v>
      </c>
      <c r="BC76" s="3"/>
      <c r="BD76" s="71">
        <v>0.15</v>
      </c>
      <c r="BE76" s="87"/>
      <c r="BF76" s="86">
        <v>0.93</v>
      </c>
    </row>
    <row r="77" spans="2:58">
      <c r="B77" s="45"/>
      <c r="C77" s="24" t="s">
        <v>61</v>
      </c>
      <c r="D77" s="24"/>
      <c r="E77" s="24"/>
      <c r="F77" s="81">
        <v>0</v>
      </c>
      <c r="G77" s="3"/>
      <c r="H77" s="79">
        <v>0</v>
      </c>
      <c r="I77" s="3"/>
      <c r="J77" s="80">
        <v>0</v>
      </c>
      <c r="K77" s="78"/>
      <c r="L77" s="81">
        <v>0</v>
      </c>
      <c r="M77" s="3"/>
      <c r="N77" s="80">
        <v>0</v>
      </c>
      <c r="O77" s="78"/>
      <c r="P77" s="81">
        <v>0</v>
      </c>
      <c r="Q77" s="3"/>
      <c r="R77" s="80">
        <v>0</v>
      </c>
      <c r="S77" s="78"/>
      <c r="T77" s="81">
        <v>0</v>
      </c>
      <c r="U77" s="3"/>
      <c r="V77" s="79">
        <v>0</v>
      </c>
      <c r="W77" s="3"/>
      <c r="X77" s="80">
        <v>0</v>
      </c>
      <c r="Y77" s="78"/>
      <c r="Z77" s="81">
        <v>0</v>
      </c>
      <c r="AA77" s="3"/>
      <c r="AB77" s="80">
        <v>0</v>
      </c>
      <c r="AC77" s="78"/>
      <c r="AD77" s="81">
        <v>0</v>
      </c>
      <c r="AE77" s="3"/>
      <c r="AF77" s="80">
        <v>0</v>
      </c>
      <c r="AG77" s="78"/>
      <c r="AH77" s="81">
        <v>0</v>
      </c>
      <c r="AI77" s="3"/>
      <c r="AJ77" s="79">
        <v>0</v>
      </c>
      <c r="AK77" s="3"/>
      <c r="AL77" s="80">
        <v>0</v>
      </c>
      <c r="AM77" s="78"/>
      <c r="AN77" s="81">
        <v>0</v>
      </c>
      <c r="AO77" s="3"/>
      <c r="AP77" s="80">
        <v>0</v>
      </c>
      <c r="AQ77" s="78"/>
      <c r="AR77" s="81">
        <v>0</v>
      </c>
      <c r="AS77" s="3"/>
      <c r="AT77" s="80">
        <v>0</v>
      </c>
      <c r="AU77" s="78"/>
      <c r="AV77" s="81">
        <v>0</v>
      </c>
      <c r="AW77" s="3"/>
      <c r="AX77" s="79">
        <v>0</v>
      </c>
      <c r="AY77" s="3"/>
      <c r="AZ77" s="80">
        <v>0</v>
      </c>
      <c r="BA77" s="78"/>
      <c r="BB77" s="81">
        <v>0</v>
      </c>
      <c r="BC77" s="3"/>
      <c r="BD77" s="80">
        <v>0</v>
      </c>
      <c r="BE77" s="78"/>
      <c r="BF77" s="81">
        <v>0</v>
      </c>
    </row>
    <row r="78" spans="2:58">
      <c r="B78" s="45"/>
      <c r="C78" s="24" t="s">
        <v>62</v>
      </c>
      <c r="D78" s="24"/>
      <c r="E78" s="24"/>
      <c r="F78" s="83">
        <f>F76+F77</f>
        <v>1.98</v>
      </c>
      <c r="G78" s="68"/>
      <c r="H78" s="67">
        <f>H76+H77</f>
        <v>7.0000000000000007E-2</v>
      </c>
      <c r="I78" s="3"/>
      <c r="J78" s="82">
        <f>J76+J77</f>
        <v>0.25</v>
      </c>
      <c r="K78" s="68"/>
      <c r="L78" s="83">
        <f>L76+L77</f>
        <v>0.32</v>
      </c>
      <c r="M78" s="3"/>
      <c r="N78" s="82">
        <f>N76+N77</f>
        <v>0.11</v>
      </c>
      <c r="O78" s="68"/>
      <c r="P78" s="83">
        <f>P76+P77</f>
        <v>0.44</v>
      </c>
      <c r="Q78" s="3"/>
      <c r="R78" s="82">
        <f>R76+R77</f>
        <v>-0.05</v>
      </c>
      <c r="S78" s="68"/>
      <c r="T78" s="83">
        <f>T76+T77</f>
        <v>0.39</v>
      </c>
      <c r="U78" s="68"/>
      <c r="V78" s="67">
        <f>V76+V77</f>
        <v>0.33</v>
      </c>
      <c r="W78" s="3"/>
      <c r="X78" s="82">
        <f>X76+X77</f>
        <v>0.09</v>
      </c>
      <c r="Y78" s="68"/>
      <c r="Z78" s="83">
        <f>Z76+Z77</f>
        <v>0.42</v>
      </c>
      <c r="AA78" s="3"/>
      <c r="AB78" s="82">
        <f>AB76+AB77</f>
        <v>-1.64</v>
      </c>
      <c r="AC78" s="68"/>
      <c r="AD78" s="83">
        <f>AD76+AD77</f>
        <v>-1.21</v>
      </c>
      <c r="AE78" s="3"/>
      <c r="AF78" s="82">
        <f>AF76+AF77</f>
        <v>2.54</v>
      </c>
      <c r="AG78" s="68"/>
      <c r="AH78" s="83">
        <f>AH76+AH77</f>
        <v>1.37</v>
      </c>
      <c r="AI78" s="68"/>
      <c r="AJ78" s="67">
        <f>AJ76+AJ77</f>
        <v>0.34</v>
      </c>
      <c r="AK78" s="3"/>
      <c r="AL78" s="82">
        <f>AL76+AL77</f>
        <v>0.28999999999999998</v>
      </c>
      <c r="AM78" s="68"/>
      <c r="AN78" s="83">
        <f>AN76+AN77</f>
        <v>0.63</v>
      </c>
      <c r="AO78" s="3"/>
      <c r="AP78" s="82">
        <f>AP76+AP77</f>
        <v>0.41</v>
      </c>
      <c r="AQ78" s="68"/>
      <c r="AR78" s="83">
        <f>AR76+AR77</f>
        <v>1.04</v>
      </c>
      <c r="AS78" s="3"/>
      <c r="AT78" s="82">
        <f>AT76+AT77</f>
        <v>0.14000000000000001</v>
      </c>
      <c r="AU78" s="68"/>
      <c r="AV78" s="83">
        <f>AV76+AV77</f>
        <v>1.17</v>
      </c>
      <c r="AW78" s="68"/>
      <c r="AX78" s="67">
        <f>AX76+AX77</f>
        <v>0.5</v>
      </c>
      <c r="AY78" s="3"/>
      <c r="AZ78" s="82">
        <f>AZ76+AZ77</f>
        <v>0.28000000000000003</v>
      </c>
      <c r="BA78" s="68"/>
      <c r="BB78" s="83">
        <f>BB76+BB77</f>
        <v>0.78</v>
      </c>
      <c r="BC78" s="3"/>
      <c r="BD78" s="82">
        <f>BD76+BD77</f>
        <v>0.15</v>
      </c>
      <c r="BE78" s="68"/>
      <c r="BF78" s="83">
        <f>BF76+BF77</f>
        <v>0.93</v>
      </c>
    </row>
    <row r="79" spans="2:58">
      <c r="B79" s="3"/>
      <c r="C79" s="24"/>
      <c r="D79" s="24"/>
      <c r="E79" s="24"/>
      <c r="F79" s="89"/>
      <c r="G79" s="3"/>
      <c r="H79" s="90"/>
      <c r="I79" s="3"/>
      <c r="J79" s="91"/>
      <c r="K79" s="88"/>
      <c r="L79" s="89"/>
      <c r="M79" s="3"/>
      <c r="N79" s="91"/>
      <c r="O79" s="88"/>
      <c r="P79" s="89"/>
      <c r="Q79" s="3"/>
      <c r="R79" s="91"/>
      <c r="S79" s="88"/>
      <c r="T79" s="89"/>
      <c r="U79" s="3"/>
      <c r="V79" s="90"/>
      <c r="W79" s="3"/>
      <c r="X79" s="91"/>
      <c r="Y79" s="88"/>
      <c r="Z79" s="89"/>
      <c r="AA79" s="3"/>
      <c r="AB79" s="91"/>
      <c r="AC79" s="88"/>
      <c r="AD79" s="89"/>
      <c r="AE79" s="3"/>
      <c r="AF79" s="91"/>
      <c r="AG79" s="88"/>
      <c r="AH79" s="89"/>
      <c r="AI79" s="3"/>
      <c r="AJ79" s="90"/>
      <c r="AK79" s="3"/>
      <c r="AL79" s="91"/>
      <c r="AM79" s="88"/>
      <c r="AN79" s="89"/>
      <c r="AO79" s="3"/>
      <c r="AP79" s="91"/>
      <c r="AQ79" s="88"/>
      <c r="AR79" s="89"/>
      <c r="AS79" s="3"/>
      <c r="AT79" s="91"/>
      <c r="AU79" s="88"/>
      <c r="AV79" s="89"/>
      <c r="AW79" s="3"/>
      <c r="AX79" s="90"/>
      <c r="AY79" s="3"/>
      <c r="AZ79" s="91"/>
      <c r="BA79" s="88"/>
      <c r="BB79" s="89"/>
      <c r="BC79" s="3"/>
      <c r="BD79" s="91"/>
      <c r="BE79" s="88"/>
      <c r="BF79" s="89"/>
    </row>
    <row r="80" spans="2:58">
      <c r="B80" s="3"/>
      <c r="C80" s="3"/>
      <c r="D80" s="3"/>
      <c r="E80" s="3"/>
      <c r="F80" s="3"/>
      <c r="G80" s="3"/>
      <c r="H80" s="3"/>
      <c r="I80" s="3"/>
      <c r="J80" s="4"/>
      <c r="K80" s="3"/>
      <c r="L80" s="3"/>
      <c r="M80" s="3"/>
      <c r="N80" s="4"/>
      <c r="O80" s="3"/>
      <c r="P80" s="3"/>
      <c r="Q80" s="3"/>
      <c r="R80" s="4"/>
      <c r="S80" s="3"/>
      <c r="T80" s="3"/>
      <c r="U80" s="3"/>
      <c r="V80" s="3"/>
      <c r="W80" s="3"/>
      <c r="X80" s="4"/>
      <c r="Y80" s="3"/>
      <c r="Z80" s="3"/>
      <c r="AA80" s="3"/>
      <c r="AB80" s="4"/>
      <c r="AC80" s="3"/>
      <c r="AD80" s="3"/>
      <c r="AE80" s="3"/>
      <c r="AF80" s="4"/>
      <c r="AG80" s="3"/>
      <c r="AH80" s="3"/>
      <c r="AI80" s="3"/>
      <c r="AJ80" s="3"/>
      <c r="AK80" s="3"/>
      <c r="AL80" s="4"/>
      <c r="AM80" s="3"/>
      <c r="AN80" s="3"/>
      <c r="AO80" s="3"/>
      <c r="AP80" s="4"/>
      <c r="AQ80" s="3"/>
      <c r="AR80" s="3"/>
      <c r="AS80" s="3"/>
      <c r="AT80" s="4"/>
      <c r="AU80" s="3"/>
      <c r="AV80" s="3"/>
      <c r="AW80" s="3"/>
      <c r="AX80" s="3"/>
      <c r="AY80" s="3"/>
      <c r="AZ80" s="4"/>
      <c r="BA80" s="3"/>
      <c r="BB80" s="3"/>
      <c r="BC80" s="3"/>
      <c r="BD80" s="4"/>
      <c r="BE80" s="3"/>
      <c r="BF80" s="3"/>
    </row>
    <row r="81" spans="2:58">
      <c r="B81" s="3"/>
      <c r="C81" s="3"/>
      <c r="D81" s="3"/>
      <c r="E81" s="3"/>
      <c r="F81" s="3"/>
      <c r="G81" s="3"/>
      <c r="H81" s="3"/>
      <c r="I81" s="3"/>
      <c r="J81" s="4"/>
      <c r="K81" s="3"/>
      <c r="L81" s="3"/>
      <c r="M81" s="3"/>
      <c r="N81" s="4"/>
      <c r="O81" s="3"/>
      <c r="P81" s="3"/>
      <c r="Q81" s="3"/>
      <c r="R81" s="4"/>
      <c r="S81" s="3"/>
      <c r="T81" s="3"/>
      <c r="U81" s="3"/>
      <c r="V81" s="3"/>
      <c r="W81" s="3"/>
      <c r="X81" s="4"/>
      <c r="Y81" s="3"/>
      <c r="Z81" s="3"/>
      <c r="AA81" s="3"/>
      <c r="AB81" s="4"/>
      <c r="AC81" s="3"/>
      <c r="AD81" s="3"/>
      <c r="AE81" s="3"/>
      <c r="AF81" s="4"/>
      <c r="AG81" s="3"/>
      <c r="AH81" s="3"/>
      <c r="AI81" s="3"/>
      <c r="AJ81" s="3"/>
      <c r="AK81" s="3"/>
      <c r="AL81" s="4"/>
      <c r="AM81" s="3"/>
      <c r="AN81" s="3"/>
      <c r="AO81" s="3"/>
      <c r="AP81" s="4"/>
      <c r="AQ81" s="3"/>
      <c r="AR81" s="3"/>
      <c r="AS81" s="3"/>
      <c r="AT81" s="4"/>
      <c r="AU81" s="3"/>
      <c r="AV81" s="3"/>
      <c r="AW81" s="3"/>
      <c r="AX81" s="3"/>
      <c r="AY81" s="3"/>
      <c r="AZ81" s="4"/>
      <c r="BA81" s="3"/>
      <c r="BB81" s="3"/>
      <c r="BC81" s="3"/>
      <c r="BD81" s="4"/>
      <c r="BE81" s="3"/>
      <c r="BF81" s="3"/>
    </row>
    <row r="82" spans="2:58">
      <c r="B82" s="3"/>
      <c r="C82" s="24"/>
      <c r="D82" s="24"/>
      <c r="E82" s="24"/>
      <c r="F82" s="3"/>
      <c r="G82" s="3"/>
      <c r="H82" s="3"/>
      <c r="I82" s="3"/>
      <c r="J82" s="4"/>
      <c r="K82" s="3"/>
      <c r="L82" s="3"/>
      <c r="M82" s="3"/>
      <c r="N82" s="4"/>
      <c r="O82" s="3"/>
      <c r="P82" s="3"/>
      <c r="Q82" s="3"/>
      <c r="R82" s="4"/>
      <c r="S82" s="3"/>
      <c r="T82" s="3"/>
      <c r="U82" s="3"/>
      <c r="V82" s="3"/>
      <c r="W82" s="3"/>
      <c r="X82" s="4"/>
      <c r="Y82" s="3"/>
      <c r="Z82" s="3"/>
      <c r="AA82" s="3"/>
      <c r="AB82" s="4"/>
      <c r="AC82" s="3"/>
      <c r="AD82" s="3"/>
      <c r="AE82" s="3"/>
      <c r="AF82" s="4"/>
      <c r="AG82" s="3"/>
      <c r="AH82" s="3"/>
      <c r="AI82" s="3"/>
      <c r="AJ82" s="3"/>
      <c r="AK82" s="3"/>
      <c r="AL82" s="4"/>
      <c r="AM82" s="3"/>
      <c r="AN82" s="3"/>
      <c r="AO82" s="3"/>
      <c r="AP82" s="4"/>
      <c r="AQ82" s="3"/>
      <c r="AR82" s="3"/>
      <c r="AS82" s="3"/>
      <c r="AT82" s="4"/>
      <c r="AU82" s="3"/>
      <c r="AV82" s="3"/>
      <c r="AW82" s="3"/>
      <c r="AX82" s="3"/>
      <c r="AY82" s="3"/>
      <c r="AZ82" s="4"/>
      <c r="BA82" s="3"/>
      <c r="BB82" s="3"/>
      <c r="BC82" s="3"/>
      <c r="BD82" s="4"/>
      <c r="BE82" s="3"/>
      <c r="BF82" s="3"/>
    </row>
    <row r="83" spans="2:58">
      <c r="B83" s="92" t="s">
        <v>108</v>
      </c>
      <c r="C83" s="93"/>
      <c r="D83" s="93"/>
      <c r="E83" s="93"/>
      <c r="F83" s="3"/>
      <c r="G83" s="92"/>
      <c r="H83" s="3"/>
      <c r="I83" s="3"/>
      <c r="J83" s="4"/>
      <c r="K83" s="3"/>
      <c r="L83" s="3"/>
      <c r="M83" s="3"/>
      <c r="N83" s="4"/>
      <c r="O83" s="3"/>
      <c r="P83" s="3"/>
      <c r="Q83" s="3"/>
      <c r="R83" s="4"/>
      <c r="S83" s="3"/>
      <c r="T83" s="3"/>
      <c r="U83" s="92"/>
      <c r="V83" s="3"/>
      <c r="W83" s="3"/>
      <c r="X83" s="4"/>
      <c r="Y83" s="3"/>
      <c r="Z83" s="3"/>
      <c r="AA83" s="3"/>
      <c r="AB83" s="4"/>
      <c r="AC83" s="3"/>
      <c r="AD83" s="3"/>
      <c r="AE83" s="3"/>
      <c r="AF83" s="4"/>
      <c r="AG83" s="3"/>
      <c r="AH83" s="3"/>
      <c r="AI83" s="92"/>
      <c r="AJ83" s="3"/>
      <c r="AK83" s="3"/>
      <c r="AL83" s="4"/>
      <c r="AM83" s="3"/>
      <c r="AN83" s="3"/>
      <c r="AO83" s="3"/>
      <c r="AP83" s="4"/>
      <c r="AQ83" s="3"/>
      <c r="AR83" s="3"/>
      <c r="AS83" s="3"/>
      <c r="AT83" s="4"/>
      <c r="AU83" s="3"/>
      <c r="AV83" s="3"/>
      <c r="AW83" s="92"/>
      <c r="AX83" s="3"/>
      <c r="AY83" s="3"/>
      <c r="AZ83" s="4"/>
      <c r="BA83" s="3"/>
      <c r="BB83" s="3"/>
      <c r="BC83" s="3"/>
      <c r="BD83" s="4"/>
      <c r="BE83" s="3"/>
      <c r="BF83" s="3"/>
    </row>
    <row r="84" spans="2:58">
      <c r="B84" s="94"/>
      <c r="C84" s="93" t="s">
        <v>66</v>
      </c>
      <c r="D84" s="93"/>
      <c r="E84" s="93"/>
      <c r="F84" s="3"/>
      <c r="G84" s="92"/>
      <c r="H84" s="3"/>
      <c r="I84" s="3"/>
      <c r="J84" s="4"/>
      <c r="K84" s="3"/>
      <c r="L84" s="3"/>
      <c r="M84" s="3"/>
      <c r="N84" s="4"/>
      <c r="O84" s="3"/>
      <c r="P84" s="3"/>
      <c r="Q84" s="3"/>
      <c r="R84" s="4"/>
      <c r="S84" s="3"/>
      <c r="T84" s="3"/>
      <c r="U84" s="92"/>
      <c r="V84" s="3"/>
      <c r="W84" s="3"/>
      <c r="X84" s="4"/>
      <c r="Y84" s="3"/>
      <c r="Z84" s="3"/>
      <c r="AA84" s="3"/>
      <c r="AB84" s="4"/>
      <c r="AC84" s="3"/>
      <c r="AD84" s="3"/>
      <c r="AE84" s="3"/>
      <c r="AF84" s="4"/>
      <c r="AG84" s="3"/>
      <c r="AH84" s="3"/>
      <c r="AI84" s="92"/>
      <c r="AJ84" s="3"/>
      <c r="AK84" s="3"/>
      <c r="AL84" s="4"/>
      <c r="AM84" s="3"/>
      <c r="AN84" s="3"/>
      <c r="AO84" s="3"/>
      <c r="AP84" s="4"/>
      <c r="AQ84" s="3"/>
      <c r="AR84" s="3"/>
      <c r="AS84" s="3"/>
      <c r="AT84" s="4"/>
      <c r="AU84" s="3"/>
      <c r="AV84" s="3"/>
      <c r="AW84" s="92"/>
      <c r="AX84" s="3"/>
      <c r="AY84" s="3"/>
      <c r="AZ84" s="4"/>
      <c r="BA84" s="3"/>
      <c r="BB84" s="3"/>
      <c r="BC84" s="3"/>
      <c r="BD84" s="4"/>
      <c r="BE84" s="3"/>
      <c r="BF84" s="3"/>
    </row>
    <row r="85" spans="2:58">
      <c r="B85" s="92"/>
      <c r="C85" s="94" t="s">
        <v>67</v>
      </c>
      <c r="D85" s="94"/>
      <c r="E85" s="94"/>
      <c r="F85" s="3"/>
      <c r="G85" s="92"/>
      <c r="H85" s="3"/>
      <c r="I85" s="3"/>
      <c r="J85" s="4"/>
      <c r="K85" s="3"/>
      <c r="L85" s="3"/>
      <c r="M85" s="3"/>
      <c r="N85" s="4"/>
      <c r="O85" s="3"/>
      <c r="P85" s="3"/>
      <c r="Q85" s="3"/>
      <c r="R85" s="4"/>
      <c r="S85" s="3"/>
      <c r="T85" s="3"/>
      <c r="U85" s="92"/>
      <c r="V85" s="3"/>
      <c r="W85" s="3"/>
      <c r="X85" s="4"/>
      <c r="Y85" s="3"/>
      <c r="Z85" s="3"/>
      <c r="AA85" s="3"/>
      <c r="AB85" s="4"/>
      <c r="AC85" s="3"/>
      <c r="AD85" s="3"/>
      <c r="AE85" s="3"/>
      <c r="AF85" s="4"/>
      <c r="AG85" s="3"/>
      <c r="AH85" s="3"/>
      <c r="AI85" s="92"/>
      <c r="AJ85" s="3"/>
      <c r="AK85" s="3"/>
      <c r="AL85" s="4"/>
      <c r="AM85" s="3"/>
      <c r="AN85" s="3"/>
      <c r="AO85" s="3"/>
      <c r="AP85" s="4"/>
      <c r="AQ85" s="3"/>
      <c r="AR85" s="3"/>
      <c r="AS85" s="3"/>
      <c r="AT85" s="4"/>
      <c r="AU85" s="3"/>
      <c r="AV85" s="3"/>
      <c r="AW85" s="92"/>
      <c r="AX85" s="3"/>
      <c r="AY85" s="3"/>
      <c r="AZ85" s="4"/>
      <c r="BA85" s="3"/>
      <c r="BB85" s="3"/>
      <c r="BC85" s="3"/>
      <c r="BD85" s="4"/>
      <c r="BE85" s="3"/>
      <c r="BF85" s="3"/>
    </row>
    <row r="86" spans="2:58">
      <c r="B86" s="19"/>
      <c r="C86" s="94" t="s">
        <v>68</v>
      </c>
      <c r="D86" s="19"/>
      <c r="E86" s="19"/>
      <c r="F86" s="3"/>
      <c r="G86" s="3"/>
      <c r="H86" s="3"/>
      <c r="I86" s="3"/>
      <c r="J86" s="4"/>
      <c r="K86" s="3"/>
      <c r="L86" s="3"/>
      <c r="M86" s="3"/>
      <c r="N86" s="4"/>
      <c r="O86" s="3"/>
      <c r="P86" s="3"/>
      <c r="Q86" s="3"/>
      <c r="R86" s="4"/>
      <c r="S86" s="3"/>
      <c r="T86" s="3"/>
      <c r="U86" s="3"/>
      <c r="V86" s="3"/>
      <c r="W86" s="3"/>
      <c r="X86" s="4"/>
      <c r="Y86" s="3"/>
      <c r="Z86" s="3"/>
      <c r="AA86" s="3"/>
      <c r="AB86" s="4"/>
      <c r="AC86" s="3"/>
      <c r="AD86" s="3"/>
      <c r="AE86" s="3"/>
      <c r="AF86" s="4"/>
      <c r="AG86" s="3"/>
      <c r="AH86" s="3"/>
      <c r="AI86" s="3"/>
      <c r="AJ86" s="3"/>
      <c r="AK86" s="3"/>
      <c r="AL86" s="4"/>
      <c r="AM86" s="3"/>
      <c r="AN86" s="3"/>
      <c r="AO86" s="3"/>
      <c r="AP86" s="4"/>
      <c r="AQ86" s="3"/>
      <c r="AR86" s="3"/>
      <c r="AS86" s="3"/>
      <c r="AT86" s="4"/>
      <c r="AU86" s="3"/>
      <c r="AV86" s="3"/>
      <c r="AW86" s="3"/>
      <c r="AX86" s="3"/>
      <c r="AY86" s="3"/>
      <c r="AZ86" s="4"/>
      <c r="BA86" s="3"/>
      <c r="BB86" s="3"/>
      <c r="BC86" s="3"/>
      <c r="BD86" s="4"/>
      <c r="BE86" s="3"/>
      <c r="BF86" s="3"/>
    </row>
  </sheetData>
  <mergeCells count="4">
    <mergeCell ref="F6:F9"/>
    <mergeCell ref="T6:T9"/>
    <mergeCell ref="AH6:AH9"/>
    <mergeCell ref="AV6:AV9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EP51"/>
  <sheetViews>
    <sheetView workbookViewId="0">
      <pane xSplit="5" ySplit="9" topLeftCell="EG10" activePane="bottomRight" state="frozen"/>
      <selection pane="topRight" activeCell="F1" sqref="F1"/>
      <selection pane="bottomLeft" activeCell="A10" sqref="A10"/>
      <selection pane="bottomRight" activeCell="EN5" sqref="EN5"/>
    </sheetView>
  </sheetViews>
  <sheetFormatPr defaultRowHeight="12.75"/>
  <cols>
    <col min="1" max="4" width="2.7109375" customWidth="1"/>
    <col min="5" max="5" width="68.140625" customWidth="1"/>
    <col min="6" max="6" width="19.140625" hidden="1" customWidth="1"/>
    <col min="7" max="7" width="2.5703125" hidden="1" customWidth="1"/>
    <col min="8" max="8" width="19.140625" hidden="1" customWidth="1"/>
    <col min="9" max="9" width="2.5703125" hidden="1" customWidth="1"/>
    <col min="10" max="10" width="19.140625" hidden="1" customWidth="1"/>
    <col min="11" max="11" width="2.5703125" hidden="1" customWidth="1"/>
    <col min="12" max="12" width="15.42578125" hidden="1" customWidth="1"/>
    <col min="13" max="13" width="2.5703125" hidden="1" customWidth="1"/>
    <col min="14" max="14" width="15.42578125" hidden="1" customWidth="1"/>
    <col min="15" max="15" width="2.5703125" hidden="1" customWidth="1"/>
    <col min="16" max="16" width="13.42578125" hidden="1" customWidth="1"/>
    <col min="17" max="17" width="2.5703125" hidden="1" customWidth="1"/>
    <col min="18" max="18" width="15.42578125" hidden="1" customWidth="1"/>
    <col min="19" max="19" width="2.5703125" hidden="1" customWidth="1"/>
    <col min="20" max="20" width="14.140625" hidden="1" customWidth="1"/>
    <col min="21" max="21" width="2.5703125" hidden="1" customWidth="1"/>
    <col min="22" max="22" width="15.42578125" hidden="1" customWidth="1"/>
    <col min="23" max="23" width="2.5703125" hidden="1" customWidth="1"/>
    <col min="24" max="24" width="19.140625" hidden="1" customWidth="1"/>
    <col min="25" max="25" width="2.5703125" hidden="1" customWidth="1"/>
    <col min="26" max="26" width="15.42578125" hidden="1" customWidth="1"/>
    <col min="27" max="27" width="2.5703125" hidden="1" customWidth="1"/>
    <col min="28" max="28" width="15.42578125" hidden="1" customWidth="1"/>
    <col min="29" max="29" width="2.5703125" hidden="1" customWidth="1"/>
    <col min="30" max="30" width="13.42578125" hidden="1" customWidth="1"/>
    <col min="31" max="31" width="2.5703125" hidden="1" customWidth="1"/>
    <col min="32" max="32" width="15.42578125" hidden="1" customWidth="1"/>
    <col min="33" max="33" width="2.5703125" hidden="1" customWidth="1"/>
    <col min="34" max="34" width="14.140625" hidden="1" customWidth="1"/>
    <col min="35" max="35" width="2.5703125" hidden="1" customWidth="1"/>
    <col min="36" max="36" width="15.42578125" hidden="1" customWidth="1"/>
    <col min="37" max="37" width="2.5703125" hidden="1" customWidth="1"/>
    <col min="38" max="38" width="19.140625" hidden="1" customWidth="1"/>
    <col min="39" max="39" width="2.5703125" hidden="1" customWidth="1"/>
    <col min="40" max="40" width="15.42578125" hidden="1" customWidth="1"/>
    <col min="41" max="41" width="2.5703125" hidden="1" customWidth="1"/>
    <col min="42" max="42" width="15.42578125" hidden="1" customWidth="1"/>
    <col min="43" max="43" width="2.5703125" hidden="1" customWidth="1"/>
    <col min="44" max="44" width="13.42578125" hidden="1" customWidth="1"/>
    <col min="45" max="45" width="2.5703125" hidden="1" customWidth="1"/>
    <col min="46" max="46" width="15.42578125" hidden="1" customWidth="1"/>
    <col min="47" max="47" width="2.5703125" hidden="1" customWidth="1"/>
    <col min="48" max="48" width="14.140625" hidden="1" customWidth="1"/>
    <col min="49" max="49" width="2.5703125" hidden="1" customWidth="1"/>
    <col min="50" max="50" width="15.42578125" hidden="1" customWidth="1"/>
    <col min="51" max="51" width="2.5703125" hidden="1" customWidth="1"/>
    <col min="52" max="52" width="19.140625" hidden="1" customWidth="1"/>
    <col min="53" max="53" width="2.5703125" hidden="1" customWidth="1"/>
    <col min="54" max="54" width="15.42578125" hidden="1" customWidth="1"/>
    <col min="55" max="55" width="2.5703125" hidden="1" customWidth="1"/>
    <col min="56" max="56" width="15.42578125" hidden="1" customWidth="1"/>
    <col min="57" max="57" width="2.5703125" hidden="1" customWidth="1"/>
    <col min="58" max="58" width="13.42578125" hidden="1" customWidth="1"/>
    <col min="59" max="59" width="2.5703125" hidden="1" customWidth="1"/>
    <col min="60" max="60" width="15.42578125" hidden="1" customWidth="1"/>
    <col min="61" max="61" width="2.5703125" hidden="1" customWidth="1"/>
    <col min="62" max="62" width="14.140625" hidden="1" customWidth="1"/>
    <col min="63" max="63" width="2.5703125" hidden="1" customWidth="1"/>
    <col min="64" max="64" width="15.42578125" hidden="1" customWidth="1"/>
    <col min="65" max="65" width="2.5703125" hidden="1" customWidth="1"/>
    <col min="66" max="66" width="19.140625" hidden="1" customWidth="1"/>
    <col min="67" max="67" width="2.5703125" hidden="1" customWidth="1"/>
    <col min="68" max="68" width="15.42578125" hidden="1" customWidth="1"/>
    <col min="69" max="69" width="2.5703125" hidden="1" customWidth="1"/>
    <col min="70" max="70" width="15.42578125" hidden="1" customWidth="1"/>
    <col min="71" max="71" width="2.5703125" hidden="1" customWidth="1"/>
    <col min="72" max="72" width="13.42578125" hidden="1" customWidth="1"/>
    <col min="73" max="73" width="2.5703125" hidden="1" customWidth="1"/>
    <col min="74" max="74" width="15.42578125" hidden="1" customWidth="1"/>
    <col min="75" max="75" width="2.5703125" hidden="1" customWidth="1"/>
    <col min="76" max="76" width="14.140625" hidden="1" customWidth="1"/>
    <col min="77" max="77" width="2.5703125" hidden="1" customWidth="1"/>
    <col min="78" max="78" width="15.42578125" hidden="1" customWidth="1"/>
    <col min="79" max="79" width="2.5703125" hidden="1" customWidth="1"/>
    <col min="80" max="80" width="19.140625" hidden="1" customWidth="1"/>
    <col min="81" max="81" width="2.5703125" hidden="1" customWidth="1"/>
    <col min="82" max="82" width="15.42578125" hidden="1" customWidth="1"/>
    <col min="83" max="83" width="2.5703125" hidden="1" customWidth="1"/>
    <col min="84" max="84" width="15.42578125" hidden="1" customWidth="1"/>
    <col min="85" max="85" width="2.5703125" hidden="1" customWidth="1"/>
    <col min="86" max="86" width="13.42578125" hidden="1" customWidth="1"/>
    <col min="87" max="87" width="2.5703125" hidden="1" customWidth="1"/>
    <col min="88" max="88" width="15.42578125" hidden="1" customWidth="1"/>
    <col min="89" max="89" width="2.5703125" hidden="1" customWidth="1"/>
    <col min="90" max="90" width="14.140625" hidden="1" customWidth="1"/>
    <col min="91" max="91" width="2.5703125" hidden="1" customWidth="1"/>
    <col min="92" max="92" width="15.42578125" hidden="1" customWidth="1"/>
    <col min="93" max="93" width="2.5703125" hidden="1" customWidth="1"/>
    <col min="94" max="94" width="19.140625" bestFit="1" customWidth="1"/>
    <col min="95" max="95" width="2.5703125" customWidth="1"/>
    <col min="96" max="96" width="15.42578125" bestFit="1" customWidth="1"/>
    <col min="97" max="97" width="2.5703125" customWidth="1"/>
    <col min="98" max="98" width="15.42578125" bestFit="1" customWidth="1"/>
    <col min="99" max="99" width="2.5703125" customWidth="1"/>
    <col min="100" max="100" width="13.42578125" bestFit="1" customWidth="1"/>
    <col min="101" max="101" width="2.5703125" customWidth="1"/>
    <col min="102" max="102" width="15.42578125" bestFit="1" customWidth="1"/>
    <col min="103" max="103" width="2.5703125" customWidth="1"/>
    <col min="104" max="104" width="14.140625" bestFit="1" customWidth="1"/>
    <col min="105" max="105" width="2.5703125" customWidth="1"/>
    <col min="106" max="106" width="15.42578125" bestFit="1" customWidth="1"/>
    <col min="107" max="107" width="2.5703125" customWidth="1"/>
    <col min="108" max="108" width="19.140625" bestFit="1" customWidth="1"/>
    <col min="109" max="109" width="2.5703125" customWidth="1"/>
    <col min="110" max="110" width="15.42578125" bestFit="1" customWidth="1"/>
    <col min="111" max="111" width="2.5703125" customWidth="1"/>
    <col min="112" max="112" width="15.42578125" bestFit="1" customWidth="1"/>
    <col min="113" max="113" width="2.5703125" customWidth="1"/>
    <col min="114" max="114" width="13.42578125" bestFit="1" customWidth="1"/>
    <col min="115" max="115" width="2.5703125" customWidth="1"/>
    <col min="116" max="116" width="15.42578125" bestFit="1" customWidth="1"/>
    <col min="117" max="117" width="2.5703125" customWidth="1"/>
    <col min="118" max="118" width="14.140625" bestFit="1" customWidth="1"/>
    <col min="119" max="119" width="2.5703125" customWidth="1"/>
    <col min="120" max="120" width="15.42578125" bestFit="1" customWidth="1"/>
    <col min="121" max="121" width="2.5703125" customWidth="1"/>
    <col min="122" max="122" width="19.140625" bestFit="1" customWidth="1"/>
    <col min="123" max="123" width="2.5703125" customWidth="1"/>
    <col min="124" max="124" width="15.42578125" bestFit="1" customWidth="1"/>
    <col min="125" max="125" width="2.5703125" customWidth="1"/>
    <col min="126" max="126" width="15.42578125" bestFit="1" customWidth="1"/>
    <col min="127" max="127" width="2.5703125" customWidth="1"/>
    <col min="128" max="128" width="13.42578125" bestFit="1" customWidth="1"/>
    <col min="129" max="129" width="2.5703125" customWidth="1"/>
    <col min="130" max="130" width="15.42578125" bestFit="1" customWidth="1"/>
    <col min="131" max="131" width="2.5703125" customWidth="1"/>
    <col min="132" max="132" width="14.140625" bestFit="1" customWidth="1"/>
    <col min="133" max="133" width="2.5703125" customWidth="1"/>
    <col min="134" max="134" width="15.42578125" bestFit="1" customWidth="1"/>
    <col min="135" max="135" width="2.5703125" customWidth="1"/>
    <col min="136" max="136" width="19.140625" bestFit="1" customWidth="1"/>
    <col min="137" max="137" width="2.5703125" customWidth="1"/>
    <col min="138" max="138" width="15.42578125" bestFit="1" customWidth="1"/>
    <col min="139" max="139" width="2.5703125" customWidth="1"/>
    <col min="140" max="140" width="15.42578125" bestFit="1" customWidth="1"/>
    <col min="141" max="141" width="2.5703125" customWidth="1"/>
    <col min="142" max="142" width="13.42578125" bestFit="1" customWidth="1"/>
    <col min="143" max="143" width="2.5703125" customWidth="1"/>
    <col min="144" max="144" width="15.42578125" bestFit="1" customWidth="1"/>
    <col min="145" max="145" width="2.5703125" customWidth="1"/>
    <col min="146" max="146" width="14.140625" bestFit="1" customWidth="1"/>
  </cols>
  <sheetData>
    <row r="2" spans="2:146" ht="25.5">
      <c r="B2" s="263" t="s">
        <v>29</v>
      </c>
      <c r="C2" s="95"/>
      <c r="D2" s="95"/>
      <c r="E2" s="95"/>
      <c r="F2" s="96"/>
      <c r="G2" s="96"/>
      <c r="H2" s="96"/>
      <c r="I2" s="96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</row>
    <row r="3" spans="2:146" ht="15.75">
      <c r="B3" s="264" t="s">
        <v>0</v>
      </c>
      <c r="C3" s="95"/>
      <c r="D3" s="95"/>
      <c r="E3" s="95"/>
      <c r="F3" s="96"/>
      <c r="G3" s="96"/>
      <c r="H3" s="96"/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5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</row>
    <row r="4" spans="2:146">
      <c r="B4" s="96" t="s">
        <v>1</v>
      </c>
      <c r="C4" s="96"/>
      <c r="D4" s="96"/>
      <c r="E4" s="96"/>
      <c r="F4" s="96"/>
      <c r="G4" s="96"/>
      <c r="H4" s="96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6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2"/>
      <c r="AQ4" s="2"/>
      <c r="AR4" s="2"/>
      <c r="AS4" s="2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2"/>
      <c r="BE4" s="2"/>
      <c r="BF4" s="98"/>
      <c r="BG4" s="98"/>
      <c r="BH4" s="92"/>
      <c r="BI4" s="92"/>
      <c r="BJ4" s="98"/>
      <c r="BK4" s="92"/>
      <c r="BL4" s="92"/>
      <c r="BM4" s="92"/>
      <c r="BN4" s="98"/>
      <c r="BO4" s="97"/>
      <c r="BP4" s="97"/>
      <c r="BQ4" s="97"/>
      <c r="BR4" s="2"/>
      <c r="BS4" s="2"/>
      <c r="BT4" s="2"/>
      <c r="BU4" s="97"/>
      <c r="BV4" s="2"/>
      <c r="BW4" s="2"/>
      <c r="BX4" s="2"/>
      <c r="BY4" s="97"/>
      <c r="BZ4" s="2"/>
      <c r="CA4" s="2"/>
      <c r="CB4" s="2"/>
      <c r="CC4" s="97"/>
      <c r="CD4" s="97"/>
      <c r="CE4" s="97"/>
      <c r="CF4" s="2"/>
      <c r="CG4" s="2"/>
      <c r="CH4" s="2"/>
      <c r="CI4" s="97"/>
      <c r="CJ4" s="2"/>
      <c r="CK4" s="2"/>
      <c r="CL4" s="2"/>
      <c r="CM4" s="97"/>
      <c r="CN4" s="2"/>
      <c r="CO4" s="2"/>
      <c r="CP4" s="2"/>
      <c r="CQ4" s="97"/>
      <c r="CR4" s="97"/>
      <c r="CS4" s="97"/>
      <c r="CT4" s="2"/>
      <c r="CU4" s="2"/>
      <c r="CV4" s="2"/>
      <c r="CW4" s="97"/>
      <c r="CX4" s="2"/>
      <c r="CY4" s="2"/>
      <c r="CZ4" s="2"/>
      <c r="DA4" s="97"/>
      <c r="DB4" s="2"/>
      <c r="DC4" s="2"/>
      <c r="DD4" s="2"/>
      <c r="DE4" s="97"/>
      <c r="DF4" s="97"/>
      <c r="DG4" s="97"/>
      <c r="DH4" s="2"/>
      <c r="DI4" s="2"/>
      <c r="DJ4" s="2"/>
      <c r="DK4" s="97"/>
      <c r="DL4" s="2"/>
      <c r="DM4" s="2"/>
      <c r="DN4" s="2"/>
      <c r="DO4" s="97"/>
      <c r="DP4" s="2"/>
      <c r="DQ4" s="2"/>
      <c r="DR4" s="2"/>
      <c r="DS4" s="97"/>
      <c r="DT4" s="97"/>
      <c r="DU4" s="97"/>
      <c r="DV4" s="2"/>
      <c r="DW4" s="2"/>
      <c r="DX4" s="2"/>
      <c r="DY4" s="97"/>
      <c r="DZ4" s="2"/>
      <c r="EA4" s="2"/>
      <c r="EB4" s="2"/>
      <c r="EC4" s="97"/>
      <c r="ED4" s="2"/>
      <c r="EE4" s="2"/>
      <c r="EF4" s="2"/>
      <c r="EG4" s="97"/>
      <c r="EH4" s="97"/>
      <c r="EI4" s="97"/>
      <c r="EJ4" s="2"/>
      <c r="EK4" s="2"/>
      <c r="EL4" s="2"/>
      <c r="EM4" s="97"/>
      <c r="EN4" s="2"/>
      <c r="EO4" s="2"/>
      <c r="EP4" s="2"/>
    </row>
    <row r="5" spans="2:146">
      <c r="B5" s="96"/>
      <c r="C5" s="96"/>
      <c r="D5" s="96"/>
      <c r="E5" s="96"/>
      <c r="F5" s="96"/>
      <c r="G5" s="96"/>
      <c r="H5" s="96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</row>
    <row r="6" spans="2:146">
      <c r="B6" s="95"/>
      <c r="C6" s="95"/>
      <c r="D6" s="95"/>
      <c r="E6" s="95"/>
      <c r="F6" s="278" t="s">
        <v>2</v>
      </c>
      <c r="G6" s="99"/>
      <c r="H6" s="278" t="s">
        <v>3</v>
      </c>
      <c r="I6" s="100"/>
      <c r="J6" s="278" t="s">
        <v>4</v>
      </c>
      <c r="K6" s="101"/>
      <c r="L6" s="270" t="s">
        <v>5</v>
      </c>
      <c r="M6" s="101"/>
      <c r="N6" s="270" t="s">
        <v>5</v>
      </c>
      <c r="O6" s="102"/>
      <c r="P6" s="273" t="s">
        <v>6</v>
      </c>
      <c r="Q6" s="103"/>
      <c r="R6" s="270" t="s">
        <v>5</v>
      </c>
      <c r="S6" s="102"/>
      <c r="T6" s="270" t="s">
        <v>7</v>
      </c>
      <c r="U6" s="101"/>
      <c r="V6" s="270" t="s">
        <v>5</v>
      </c>
      <c r="W6" s="102"/>
      <c r="X6" s="278" t="s">
        <v>8</v>
      </c>
      <c r="Y6" s="101"/>
      <c r="Z6" s="270" t="s">
        <v>5</v>
      </c>
      <c r="AA6" s="101"/>
      <c r="AB6" s="270" t="s">
        <v>5</v>
      </c>
      <c r="AC6" s="102"/>
      <c r="AD6" s="270" t="s">
        <v>6</v>
      </c>
      <c r="AE6" s="101"/>
      <c r="AF6" s="270" t="s">
        <v>5</v>
      </c>
      <c r="AG6" s="102"/>
      <c r="AH6" s="270" t="s">
        <v>7</v>
      </c>
      <c r="AI6" s="100"/>
      <c r="AJ6" s="270" t="s">
        <v>5</v>
      </c>
      <c r="AK6" s="102"/>
      <c r="AL6" s="278" t="s">
        <v>9</v>
      </c>
      <c r="AM6" s="100"/>
      <c r="AN6" s="270" t="s">
        <v>5</v>
      </c>
      <c r="AO6" s="100"/>
      <c r="AP6" s="270" t="s">
        <v>5</v>
      </c>
      <c r="AQ6" s="102"/>
      <c r="AR6" s="270" t="s">
        <v>6</v>
      </c>
      <c r="AS6" s="101"/>
      <c r="AT6" s="270" t="s">
        <v>5</v>
      </c>
      <c r="AU6" s="102"/>
      <c r="AV6" s="270" t="s">
        <v>7</v>
      </c>
      <c r="AW6" s="100"/>
      <c r="AX6" s="270" t="s">
        <v>5</v>
      </c>
      <c r="AY6" s="102"/>
      <c r="AZ6" s="278" t="s">
        <v>10</v>
      </c>
      <c r="BA6" s="100"/>
      <c r="BB6" s="270" t="s">
        <v>5</v>
      </c>
      <c r="BC6" s="104"/>
      <c r="BD6" s="270" t="s">
        <v>5</v>
      </c>
      <c r="BE6" s="102"/>
      <c r="BF6" s="270" t="s">
        <v>6</v>
      </c>
      <c r="BG6" s="101"/>
      <c r="BH6" s="270" t="s">
        <v>5</v>
      </c>
      <c r="BI6" s="102"/>
      <c r="BJ6" s="270" t="s">
        <v>7</v>
      </c>
      <c r="BK6" s="100"/>
      <c r="BL6" s="270" t="s">
        <v>5</v>
      </c>
      <c r="BM6" s="102"/>
      <c r="BN6" s="278" t="s">
        <v>11</v>
      </c>
      <c r="BO6" s="100"/>
      <c r="BP6" s="270" t="s">
        <v>5</v>
      </c>
      <c r="BQ6" s="100"/>
      <c r="BR6" s="270" t="s">
        <v>5</v>
      </c>
      <c r="BS6" s="102"/>
      <c r="BT6" s="270" t="s">
        <v>6</v>
      </c>
      <c r="BU6" s="100"/>
      <c r="BV6" s="270" t="s">
        <v>5</v>
      </c>
      <c r="BW6" s="102"/>
      <c r="BX6" s="270" t="s">
        <v>7</v>
      </c>
      <c r="BY6" s="100"/>
      <c r="BZ6" s="270" t="s">
        <v>5</v>
      </c>
      <c r="CA6" s="102"/>
      <c r="CB6" s="278" t="s">
        <v>12</v>
      </c>
      <c r="CC6" s="100"/>
      <c r="CD6" s="270" t="s">
        <v>5</v>
      </c>
      <c r="CE6" s="100"/>
      <c r="CF6" s="270" t="s">
        <v>5</v>
      </c>
      <c r="CG6" s="102"/>
      <c r="CH6" s="270" t="s">
        <v>6</v>
      </c>
      <c r="CI6" s="100"/>
      <c r="CJ6" s="270" t="s">
        <v>5</v>
      </c>
      <c r="CK6" s="102"/>
      <c r="CL6" s="270" t="s">
        <v>7</v>
      </c>
      <c r="CM6" s="100"/>
      <c r="CN6" s="270" t="s">
        <v>5</v>
      </c>
      <c r="CO6" s="102"/>
      <c r="CP6" s="278" t="s">
        <v>13</v>
      </c>
      <c r="CQ6" s="100"/>
      <c r="CR6" s="270" t="s">
        <v>5</v>
      </c>
      <c r="CS6" s="100"/>
      <c r="CT6" s="270" t="s">
        <v>5</v>
      </c>
      <c r="CU6" s="102"/>
      <c r="CV6" s="270" t="s">
        <v>6</v>
      </c>
      <c r="CW6" s="100"/>
      <c r="CX6" s="270" t="s">
        <v>5</v>
      </c>
      <c r="CY6" s="102"/>
      <c r="CZ6" s="270" t="s">
        <v>7</v>
      </c>
      <c r="DA6" s="100"/>
      <c r="DB6" s="270" t="s">
        <v>5</v>
      </c>
      <c r="DC6" s="102"/>
      <c r="DD6" s="278" t="s">
        <v>14</v>
      </c>
      <c r="DE6" s="100"/>
      <c r="DF6" s="270" t="s">
        <v>5</v>
      </c>
      <c r="DG6" s="100"/>
      <c r="DH6" s="270" t="s">
        <v>5</v>
      </c>
      <c r="DI6" s="102"/>
      <c r="DJ6" s="270" t="s">
        <v>6</v>
      </c>
      <c r="DK6" s="100"/>
      <c r="DL6" s="270" t="s">
        <v>5</v>
      </c>
      <c r="DM6" s="102"/>
      <c r="DN6" s="270" t="s">
        <v>7</v>
      </c>
      <c r="DO6" s="100"/>
      <c r="DP6" s="270" t="s">
        <v>5</v>
      </c>
      <c r="DQ6" s="102"/>
      <c r="DR6" s="278" t="s">
        <v>106</v>
      </c>
      <c r="DS6" s="100"/>
      <c r="DT6" s="270" t="s">
        <v>5</v>
      </c>
      <c r="DU6" s="100"/>
      <c r="DV6" s="270" t="s">
        <v>5</v>
      </c>
      <c r="DW6" s="102"/>
      <c r="DX6" s="270" t="s">
        <v>6</v>
      </c>
      <c r="DY6" s="100"/>
      <c r="DZ6" s="270" t="s">
        <v>5</v>
      </c>
      <c r="EA6" s="102"/>
      <c r="EB6" s="270" t="s">
        <v>7</v>
      </c>
      <c r="EC6" s="100"/>
      <c r="ED6" s="270" t="s">
        <v>5</v>
      </c>
      <c r="EE6" s="102"/>
      <c r="EF6" s="278" t="s">
        <v>107</v>
      </c>
      <c r="EG6" s="100"/>
      <c r="EH6" s="270" t="s">
        <v>5</v>
      </c>
      <c r="EI6" s="100"/>
      <c r="EJ6" s="270" t="s">
        <v>5</v>
      </c>
      <c r="EK6" s="102"/>
      <c r="EL6" s="270" t="s">
        <v>6</v>
      </c>
      <c r="EM6" s="100"/>
      <c r="EN6" s="270" t="s">
        <v>5</v>
      </c>
      <c r="EO6" s="102"/>
      <c r="EP6" s="270" t="s">
        <v>7</v>
      </c>
    </row>
    <row r="7" spans="2:146">
      <c r="B7" s="99"/>
      <c r="C7" s="99"/>
      <c r="D7" s="99"/>
      <c r="E7" s="99"/>
      <c r="F7" s="281"/>
      <c r="G7" s="99"/>
      <c r="H7" s="279"/>
      <c r="I7" s="100"/>
      <c r="J7" s="279"/>
      <c r="K7" s="101"/>
      <c r="L7" s="271" t="s">
        <v>15</v>
      </c>
      <c r="M7" s="101"/>
      <c r="N7" s="271" t="s">
        <v>15</v>
      </c>
      <c r="O7" s="101"/>
      <c r="P7" s="274" t="s">
        <v>15</v>
      </c>
      <c r="Q7" s="103"/>
      <c r="R7" s="271" t="s">
        <v>15</v>
      </c>
      <c r="S7" s="101"/>
      <c r="T7" s="271" t="s">
        <v>15</v>
      </c>
      <c r="U7" s="101"/>
      <c r="V7" s="271" t="s">
        <v>15</v>
      </c>
      <c r="W7" s="101"/>
      <c r="X7" s="279"/>
      <c r="Y7" s="101"/>
      <c r="Z7" s="271" t="s">
        <v>15</v>
      </c>
      <c r="AA7" s="101"/>
      <c r="AB7" s="271" t="s">
        <v>15</v>
      </c>
      <c r="AC7" s="101"/>
      <c r="AD7" s="271" t="s">
        <v>15</v>
      </c>
      <c r="AE7" s="101"/>
      <c r="AF7" s="271" t="s">
        <v>15</v>
      </c>
      <c r="AG7" s="101"/>
      <c r="AH7" s="271" t="s">
        <v>15</v>
      </c>
      <c r="AI7" s="100"/>
      <c r="AJ7" s="271" t="s">
        <v>15</v>
      </c>
      <c r="AK7" s="101"/>
      <c r="AL7" s="279"/>
      <c r="AM7" s="100"/>
      <c r="AN7" s="271" t="s">
        <v>15</v>
      </c>
      <c r="AO7" s="100"/>
      <c r="AP7" s="271" t="s">
        <v>15</v>
      </c>
      <c r="AQ7" s="101"/>
      <c r="AR7" s="271" t="s">
        <v>15</v>
      </c>
      <c r="AS7" s="101"/>
      <c r="AT7" s="271" t="s">
        <v>15</v>
      </c>
      <c r="AU7" s="101"/>
      <c r="AV7" s="271" t="s">
        <v>15</v>
      </c>
      <c r="AW7" s="100"/>
      <c r="AX7" s="271" t="s">
        <v>15</v>
      </c>
      <c r="AY7" s="101"/>
      <c r="AZ7" s="279"/>
      <c r="BA7" s="100"/>
      <c r="BB7" s="271" t="s">
        <v>15</v>
      </c>
      <c r="BC7" s="104"/>
      <c r="BD7" s="271" t="s">
        <v>15</v>
      </c>
      <c r="BE7" s="101"/>
      <c r="BF7" s="271" t="s">
        <v>15</v>
      </c>
      <c r="BG7" s="101"/>
      <c r="BH7" s="271" t="s">
        <v>15</v>
      </c>
      <c r="BI7" s="101"/>
      <c r="BJ7" s="271" t="s">
        <v>15</v>
      </c>
      <c r="BK7" s="100"/>
      <c r="BL7" s="271" t="s">
        <v>15</v>
      </c>
      <c r="BM7" s="101"/>
      <c r="BN7" s="279"/>
      <c r="BO7" s="100"/>
      <c r="BP7" s="271" t="s">
        <v>15</v>
      </c>
      <c r="BQ7" s="100"/>
      <c r="BR7" s="271" t="s">
        <v>15</v>
      </c>
      <c r="BS7" s="101"/>
      <c r="BT7" s="271" t="s">
        <v>15</v>
      </c>
      <c r="BU7" s="100"/>
      <c r="BV7" s="271" t="s">
        <v>15</v>
      </c>
      <c r="BW7" s="101"/>
      <c r="BX7" s="271" t="s">
        <v>15</v>
      </c>
      <c r="BY7" s="100"/>
      <c r="BZ7" s="271" t="s">
        <v>15</v>
      </c>
      <c r="CA7" s="101"/>
      <c r="CB7" s="279"/>
      <c r="CC7" s="100"/>
      <c r="CD7" s="271" t="s">
        <v>15</v>
      </c>
      <c r="CE7" s="100"/>
      <c r="CF7" s="271" t="s">
        <v>15</v>
      </c>
      <c r="CG7" s="101"/>
      <c r="CH7" s="271" t="s">
        <v>15</v>
      </c>
      <c r="CI7" s="100"/>
      <c r="CJ7" s="271" t="s">
        <v>15</v>
      </c>
      <c r="CK7" s="101"/>
      <c r="CL7" s="271" t="s">
        <v>15</v>
      </c>
      <c r="CM7" s="100"/>
      <c r="CN7" s="271" t="s">
        <v>15</v>
      </c>
      <c r="CO7" s="101"/>
      <c r="CP7" s="279"/>
      <c r="CQ7" s="100"/>
      <c r="CR7" s="271" t="s">
        <v>15</v>
      </c>
      <c r="CS7" s="100"/>
      <c r="CT7" s="271" t="s">
        <v>15</v>
      </c>
      <c r="CU7" s="101"/>
      <c r="CV7" s="271" t="s">
        <v>15</v>
      </c>
      <c r="CW7" s="100"/>
      <c r="CX7" s="271" t="s">
        <v>15</v>
      </c>
      <c r="CY7" s="101"/>
      <c r="CZ7" s="271" t="s">
        <v>15</v>
      </c>
      <c r="DA7" s="100"/>
      <c r="DB7" s="271" t="s">
        <v>15</v>
      </c>
      <c r="DC7" s="101"/>
      <c r="DD7" s="279"/>
      <c r="DE7" s="100"/>
      <c r="DF7" s="271" t="s">
        <v>15</v>
      </c>
      <c r="DG7" s="100"/>
      <c r="DH7" s="271" t="s">
        <v>15</v>
      </c>
      <c r="DI7" s="101"/>
      <c r="DJ7" s="271" t="s">
        <v>15</v>
      </c>
      <c r="DK7" s="100"/>
      <c r="DL7" s="271" t="s">
        <v>15</v>
      </c>
      <c r="DM7" s="101"/>
      <c r="DN7" s="271" t="s">
        <v>15</v>
      </c>
      <c r="DO7" s="100"/>
      <c r="DP7" s="271" t="s">
        <v>15</v>
      </c>
      <c r="DQ7" s="101"/>
      <c r="DR7" s="279"/>
      <c r="DS7" s="100"/>
      <c r="DT7" s="271" t="s">
        <v>15</v>
      </c>
      <c r="DU7" s="100"/>
      <c r="DV7" s="271" t="s">
        <v>15</v>
      </c>
      <c r="DW7" s="101"/>
      <c r="DX7" s="271" t="s">
        <v>15</v>
      </c>
      <c r="DY7" s="100"/>
      <c r="DZ7" s="271" t="s">
        <v>15</v>
      </c>
      <c r="EA7" s="101"/>
      <c r="EB7" s="271" t="s">
        <v>15</v>
      </c>
      <c r="EC7" s="100"/>
      <c r="ED7" s="271" t="s">
        <v>15</v>
      </c>
      <c r="EE7" s="101"/>
      <c r="EF7" s="279"/>
      <c r="EG7" s="100"/>
      <c r="EH7" s="271" t="s">
        <v>15</v>
      </c>
      <c r="EI7" s="100"/>
      <c r="EJ7" s="271" t="s">
        <v>15</v>
      </c>
      <c r="EK7" s="101"/>
      <c r="EL7" s="271" t="s">
        <v>15</v>
      </c>
      <c r="EM7" s="100"/>
      <c r="EN7" s="271" t="s">
        <v>15</v>
      </c>
      <c r="EO7" s="101"/>
      <c r="EP7" s="271" t="s">
        <v>15</v>
      </c>
    </row>
    <row r="8" spans="2:146">
      <c r="B8" s="105"/>
      <c r="C8" s="106"/>
      <c r="D8" s="106"/>
      <c r="E8" s="106"/>
      <c r="F8" s="279"/>
      <c r="G8" s="101"/>
      <c r="H8" s="279"/>
      <c r="I8" s="101"/>
      <c r="J8" s="279"/>
      <c r="K8" s="101"/>
      <c r="L8" s="271" t="s">
        <v>16</v>
      </c>
      <c r="M8" s="101"/>
      <c r="N8" s="271" t="s">
        <v>17</v>
      </c>
      <c r="O8" s="101"/>
      <c r="P8" s="271" t="s">
        <v>17</v>
      </c>
      <c r="Q8" s="101"/>
      <c r="R8" s="271" t="s">
        <v>18</v>
      </c>
      <c r="S8" s="101"/>
      <c r="T8" s="271" t="s">
        <v>18</v>
      </c>
      <c r="U8" s="101"/>
      <c r="V8" s="271" t="s">
        <v>19</v>
      </c>
      <c r="W8" s="101"/>
      <c r="X8" s="279"/>
      <c r="Y8" s="101"/>
      <c r="Z8" s="271" t="s">
        <v>16</v>
      </c>
      <c r="AA8" s="101"/>
      <c r="AB8" s="271" t="s">
        <v>17</v>
      </c>
      <c r="AC8" s="101"/>
      <c r="AD8" s="271" t="s">
        <v>17</v>
      </c>
      <c r="AE8" s="101"/>
      <c r="AF8" s="271" t="s">
        <v>18</v>
      </c>
      <c r="AG8" s="101"/>
      <c r="AH8" s="271" t="s">
        <v>18</v>
      </c>
      <c r="AI8" s="100"/>
      <c r="AJ8" s="271" t="s">
        <v>20</v>
      </c>
      <c r="AK8" s="101"/>
      <c r="AL8" s="279"/>
      <c r="AM8" s="100"/>
      <c r="AN8" s="271" t="s">
        <v>16</v>
      </c>
      <c r="AO8" s="100"/>
      <c r="AP8" s="271" t="s">
        <v>17</v>
      </c>
      <c r="AQ8" s="101"/>
      <c r="AR8" s="271" t="s">
        <v>17</v>
      </c>
      <c r="AS8" s="101"/>
      <c r="AT8" s="271" t="s">
        <v>18</v>
      </c>
      <c r="AU8" s="101"/>
      <c r="AV8" s="271" t="s">
        <v>18</v>
      </c>
      <c r="AW8" s="100"/>
      <c r="AX8" s="271" t="s">
        <v>20</v>
      </c>
      <c r="AY8" s="101"/>
      <c r="AZ8" s="279"/>
      <c r="BA8" s="100"/>
      <c r="BB8" s="271" t="s">
        <v>16</v>
      </c>
      <c r="BC8" s="104"/>
      <c r="BD8" s="271" t="s">
        <v>17</v>
      </c>
      <c r="BE8" s="101"/>
      <c r="BF8" s="271" t="s">
        <v>17</v>
      </c>
      <c r="BG8" s="101"/>
      <c r="BH8" s="271" t="s">
        <v>18</v>
      </c>
      <c r="BI8" s="101"/>
      <c r="BJ8" s="271" t="s">
        <v>18</v>
      </c>
      <c r="BK8" s="100"/>
      <c r="BL8" s="271" t="s">
        <v>20</v>
      </c>
      <c r="BM8" s="101"/>
      <c r="BN8" s="279"/>
      <c r="BO8" s="100"/>
      <c r="BP8" s="271" t="s">
        <v>16</v>
      </c>
      <c r="BQ8" s="100"/>
      <c r="BR8" s="271" t="s">
        <v>17</v>
      </c>
      <c r="BS8" s="101"/>
      <c r="BT8" s="271" t="s">
        <v>17</v>
      </c>
      <c r="BU8" s="100"/>
      <c r="BV8" s="271" t="s">
        <v>18</v>
      </c>
      <c r="BW8" s="101"/>
      <c r="BX8" s="271" t="s">
        <v>18</v>
      </c>
      <c r="BY8" s="100"/>
      <c r="BZ8" s="271" t="s">
        <v>20</v>
      </c>
      <c r="CA8" s="101"/>
      <c r="CB8" s="279"/>
      <c r="CC8" s="100"/>
      <c r="CD8" s="271" t="s">
        <v>16</v>
      </c>
      <c r="CE8" s="100"/>
      <c r="CF8" s="271" t="s">
        <v>17</v>
      </c>
      <c r="CG8" s="101"/>
      <c r="CH8" s="271" t="s">
        <v>17</v>
      </c>
      <c r="CI8" s="100"/>
      <c r="CJ8" s="271" t="s">
        <v>18</v>
      </c>
      <c r="CK8" s="101"/>
      <c r="CL8" s="271" t="s">
        <v>18</v>
      </c>
      <c r="CM8" s="100"/>
      <c r="CN8" s="271" t="s">
        <v>20</v>
      </c>
      <c r="CO8" s="101"/>
      <c r="CP8" s="279"/>
      <c r="CQ8" s="100"/>
      <c r="CR8" s="271" t="s">
        <v>16</v>
      </c>
      <c r="CS8" s="100"/>
      <c r="CT8" s="271" t="s">
        <v>17</v>
      </c>
      <c r="CU8" s="101"/>
      <c r="CV8" s="271" t="s">
        <v>17</v>
      </c>
      <c r="CW8" s="100"/>
      <c r="CX8" s="271" t="s">
        <v>21</v>
      </c>
      <c r="CY8" s="101"/>
      <c r="CZ8" s="271" t="s">
        <v>21</v>
      </c>
      <c r="DA8" s="100"/>
      <c r="DB8" s="271" t="s">
        <v>22</v>
      </c>
      <c r="DC8" s="101"/>
      <c r="DD8" s="279"/>
      <c r="DE8" s="100"/>
      <c r="DF8" s="271" t="s">
        <v>16</v>
      </c>
      <c r="DG8" s="100"/>
      <c r="DH8" s="271" t="s">
        <v>17</v>
      </c>
      <c r="DI8" s="101"/>
      <c r="DJ8" s="271" t="s">
        <v>17</v>
      </c>
      <c r="DK8" s="100"/>
      <c r="DL8" s="271" t="s">
        <v>21</v>
      </c>
      <c r="DM8" s="101"/>
      <c r="DN8" s="271" t="s">
        <v>21</v>
      </c>
      <c r="DO8" s="100"/>
      <c r="DP8" s="271" t="s">
        <v>22</v>
      </c>
      <c r="DQ8" s="101"/>
      <c r="DR8" s="279"/>
      <c r="DS8" s="100"/>
      <c r="DT8" s="271" t="s">
        <v>16</v>
      </c>
      <c r="DU8" s="100"/>
      <c r="DV8" s="271" t="s">
        <v>17</v>
      </c>
      <c r="DW8" s="101"/>
      <c r="DX8" s="271" t="s">
        <v>17</v>
      </c>
      <c r="DY8" s="100"/>
      <c r="DZ8" s="271" t="s">
        <v>18</v>
      </c>
      <c r="EA8" s="101"/>
      <c r="EB8" s="271" t="s">
        <v>18</v>
      </c>
      <c r="EC8" s="100"/>
      <c r="ED8" s="271" t="s">
        <v>22</v>
      </c>
      <c r="EE8" s="101"/>
      <c r="EF8" s="279"/>
      <c r="EG8" s="100"/>
      <c r="EH8" s="271" t="s">
        <v>16</v>
      </c>
      <c r="EI8" s="100"/>
      <c r="EJ8" s="271" t="s">
        <v>17</v>
      </c>
      <c r="EK8" s="101"/>
      <c r="EL8" s="271" t="s">
        <v>17</v>
      </c>
      <c r="EM8" s="100"/>
      <c r="EN8" s="271" t="s">
        <v>18</v>
      </c>
      <c r="EO8" s="101"/>
      <c r="EP8" s="271" t="s">
        <v>18</v>
      </c>
    </row>
    <row r="9" spans="2:146">
      <c r="B9" s="106"/>
      <c r="C9" s="106"/>
      <c r="D9" s="106"/>
      <c r="E9" s="106"/>
      <c r="F9" s="280"/>
      <c r="G9" s="101"/>
      <c r="H9" s="280"/>
      <c r="I9" s="101"/>
      <c r="J9" s="280"/>
      <c r="K9" s="101"/>
      <c r="L9" s="272">
        <v>2010</v>
      </c>
      <c r="M9" s="101"/>
      <c r="N9" s="272">
        <v>2010</v>
      </c>
      <c r="O9" s="101"/>
      <c r="P9" s="272">
        <v>2010</v>
      </c>
      <c r="Q9" s="101"/>
      <c r="R9" s="272">
        <v>2010</v>
      </c>
      <c r="S9" s="101"/>
      <c r="T9" s="272">
        <v>2010</v>
      </c>
      <c r="U9" s="101"/>
      <c r="V9" s="272">
        <v>2010</v>
      </c>
      <c r="W9" s="101"/>
      <c r="X9" s="280"/>
      <c r="Y9" s="101"/>
      <c r="Z9" s="272">
        <v>2011</v>
      </c>
      <c r="AA9" s="101"/>
      <c r="AB9" s="272">
        <v>2011</v>
      </c>
      <c r="AC9" s="101"/>
      <c r="AD9" s="272">
        <v>2011</v>
      </c>
      <c r="AE9" s="101"/>
      <c r="AF9" s="272">
        <v>2011</v>
      </c>
      <c r="AG9" s="101"/>
      <c r="AH9" s="272">
        <v>2011</v>
      </c>
      <c r="AI9" s="100"/>
      <c r="AJ9" s="272">
        <v>2011</v>
      </c>
      <c r="AK9" s="101"/>
      <c r="AL9" s="280"/>
      <c r="AM9" s="100"/>
      <c r="AN9" s="272">
        <v>2012</v>
      </c>
      <c r="AO9" s="100"/>
      <c r="AP9" s="272">
        <v>2012</v>
      </c>
      <c r="AQ9" s="101"/>
      <c r="AR9" s="272">
        <v>2012</v>
      </c>
      <c r="AS9" s="101"/>
      <c r="AT9" s="272">
        <v>2012</v>
      </c>
      <c r="AU9" s="101"/>
      <c r="AV9" s="272">
        <v>2012</v>
      </c>
      <c r="AW9" s="100"/>
      <c r="AX9" s="272">
        <v>2012</v>
      </c>
      <c r="AY9" s="101"/>
      <c r="AZ9" s="280"/>
      <c r="BA9" s="100"/>
      <c r="BB9" s="272">
        <v>2013</v>
      </c>
      <c r="BC9" s="104"/>
      <c r="BD9" s="272">
        <v>2013</v>
      </c>
      <c r="BE9" s="101"/>
      <c r="BF9" s="272">
        <v>2013</v>
      </c>
      <c r="BG9" s="101"/>
      <c r="BH9" s="272">
        <v>2013</v>
      </c>
      <c r="BI9" s="101"/>
      <c r="BJ9" s="272">
        <v>2013</v>
      </c>
      <c r="BK9" s="100"/>
      <c r="BL9" s="272">
        <v>2013</v>
      </c>
      <c r="BM9" s="101"/>
      <c r="BN9" s="280"/>
      <c r="BO9" s="100"/>
      <c r="BP9" s="272">
        <v>2014</v>
      </c>
      <c r="BQ9" s="100"/>
      <c r="BR9" s="272">
        <v>2014</v>
      </c>
      <c r="BS9" s="101"/>
      <c r="BT9" s="272">
        <v>2014</v>
      </c>
      <c r="BU9" s="100"/>
      <c r="BV9" s="272">
        <v>2014</v>
      </c>
      <c r="BW9" s="101"/>
      <c r="BX9" s="272">
        <v>2014</v>
      </c>
      <c r="BY9" s="100"/>
      <c r="BZ9" s="272">
        <v>2014</v>
      </c>
      <c r="CA9" s="101"/>
      <c r="CB9" s="280"/>
      <c r="CC9" s="100"/>
      <c r="CD9" s="272">
        <v>2015</v>
      </c>
      <c r="CE9" s="100"/>
      <c r="CF9" s="272">
        <v>2015</v>
      </c>
      <c r="CG9" s="101"/>
      <c r="CH9" s="272">
        <v>2015</v>
      </c>
      <c r="CI9" s="100"/>
      <c r="CJ9" s="272">
        <v>2015</v>
      </c>
      <c r="CK9" s="101"/>
      <c r="CL9" s="272">
        <v>2015</v>
      </c>
      <c r="CM9" s="100"/>
      <c r="CN9" s="272">
        <v>2015</v>
      </c>
      <c r="CO9" s="101"/>
      <c r="CP9" s="280"/>
      <c r="CQ9" s="100"/>
      <c r="CR9" s="272">
        <v>2016</v>
      </c>
      <c r="CS9" s="100"/>
      <c r="CT9" s="272">
        <v>2016</v>
      </c>
      <c r="CU9" s="101"/>
      <c r="CV9" s="272">
        <v>2016</v>
      </c>
      <c r="CW9" s="100"/>
      <c r="CX9" s="272">
        <v>2016</v>
      </c>
      <c r="CY9" s="101"/>
      <c r="CZ9" s="272">
        <v>2016</v>
      </c>
      <c r="DA9" s="100"/>
      <c r="DB9" s="272">
        <v>2016</v>
      </c>
      <c r="DC9" s="101"/>
      <c r="DD9" s="280"/>
      <c r="DE9" s="100"/>
      <c r="DF9" s="272">
        <v>2017</v>
      </c>
      <c r="DG9" s="100"/>
      <c r="DH9" s="272">
        <v>2017</v>
      </c>
      <c r="DI9" s="101"/>
      <c r="DJ9" s="272">
        <v>2017</v>
      </c>
      <c r="DK9" s="100"/>
      <c r="DL9" s="272">
        <v>2017</v>
      </c>
      <c r="DM9" s="101"/>
      <c r="DN9" s="272">
        <v>2017</v>
      </c>
      <c r="DO9" s="100"/>
      <c r="DP9" s="272">
        <v>2017</v>
      </c>
      <c r="DQ9" s="101"/>
      <c r="DR9" s="280"/>
      <c r="DS9" s="100"/>
      <c r="DT9" s="272">
        <v>2018</v>
      </c>
      <c r="DU9" s="100"/>
      <c r="DV9" s="272">
        <v>2018</v>
      </c>
      <c r="DW9" s="101"/>
      <c r="DX9" s="272">
        <v>2018</v>
      </c>
      <c r="DY9" s="100"/>
      <c r="DZ9" s="272">
        <v>2018</v>
      </c>
      <c r="EA9" s="101"/>
      <c r="EB9" s="272">
        <v>2018</v>
      </c>
      <c r="EC9" s="100"/>
      <c r="ED9" s="272">
        <v>2018</v>
      </c>
      <c r="EE9" s="101"/>
      <c r="EF9" s="280"/>
      <c r="EG9" s="100"/>
      <c r="EH9" s="272">
        <v>2019</v>
      </c>
      <c r="EI9" s="100"/>
      <c r="EJ9" s="272">
        <v>2019</v>
      </c>
      <c r="EK9" s="101"/>
      <c r="EL9" s="272">
        <v>2019</v>
      </c>
      <c r="EM9" s="100"/>
      <c r="EN9" s="272">
        <v>2019</v>
      </c>
      <c r="EO9" s="101"/>
      <c r="EP9" s="272">
        <v>2019</v>
      </c>
    </row>
    <row r="10" spans="2:146">
      <c r="B10" s="106" t="s">
        <v>23</v>
      </c>
      <c r="C10" s="107"/>
      <c r="D10" s="107"/>
      <c r="E10" s="107"/>
      <c r="F10" s="108"/>
      <c r="G10" s="109"/>
      <c r="H10" s="108"/>
      <c r="I10" s="109"/>
      <c r="J10" s="108"/>
      <c r="K10" s="109"/>
      <c r="L10" s="110"/>
      <c r="M10" s="111"/>
      <c r="N10" s="112"/>
      <c r="O10" s="111"/>
      <c r="P10" s="113"/>
      <c r="Q10" s="111"/>
      <c r="R10" s="112"/>
      <c r="S10" s="111"/>
      <c r="T10" s="113"/>
      <c r="U10" s="111"/>
      <c r="V10" s="112"/>
      <c r="W10" s="111"/>
      <c r="X10" s="113"/>
      <c r="Y10" s="111"/>
      <c r="Z10" s="110"/>
      <c r="AA10" s="111"/>
      <c r="AB10" s="112"/>
      <c r="AC10" s="111"/>
      <c r="AD10" s="113"/>
      <c r="AE10" s="111"/>
      <c r="AF10" s="112"/>
      <c r="AG10" s="111"/>
      <c r="AH10" s="113"/>
      <c r="AI10" s="97"/>
      <c r="AJ10" s="112"/>
      <c r="AK10" s="111"/>
      <c r="AL10" s="113"/>
      <c r="AM10" s="97"/>
      <c r="AN10" s="110"/>
      <c r="AO10" s="97"/>
      <c r="AP10" s="112"/>
      <c r="AQ10" s="111"/>
      <c r="AR10" s="113"/>
      <c r="AS10" s="111"/>
      <c r="AT10" s="112"/>
      <c r="AU10" s="111"/>
      <c r="AV10" s="113"/>
      <c r="AW10" s="97"/>
      <c r="AX10" s="112"/>
      <c r="AY10" s="111"/>
      <c r="AZ10" s="113"/>
      <c r="BA10" s="97"/>
      <c r="BB10" s="110"/>
      <c r="BC10" s="114"/>
      <c r="BD10" s="112"/>
      <c r="BE10" s="111"/>
      <c r="BF10" s="113"/>
      <c r="BG10" s="111"/>
      <c r="BH10" s="112"/>
      <c r="BI10" s="111"/>
      <c r="BJ10" s="113"/>
      <c r="BK10" s="97"/>
      <c r="BL10" s="112"/>
      <c r="BM10" s="111"/>
      <c r="BN10" s="113"/>
      <c r="BO10" s="97"/>
      <c r="BP10" s="110"/>
      <c r="BQ10" s="97"/>
      <c r="BR10" s="112"/>
      <c r="BS10" s="111"/>
      <c r="BT10" s="113"/>
      <c r="BU10" s="97"/>
      <c r="BV10" s="112"/>
      <c r="BW10" s="111"/>
      <c r="BX10" s="113"/>
      <c r="BY10" s="97"/>
      <c r="BZ10" s="112"/>
      <c r="CA10" s="111"/>
      <c r="CB10" s="113"/>
      <c r="CC10" s="97"/>
      <c r="CD10" s="110"/>
      <c r="CE10" s="97"/>
      <c r="CF10" s="112"/>
      <c r="CG10" s="111"/>
      <c r="CH10" s="113"/>
      <c r="CI10" s="97"/>
      <c r="CJ10" s="112"/>
      <c r="CK10" s="111"/>
      <c r="CL10" s="113"/>
      <c r="CM10" s="97"/>
      <c r="CN10" s="112"/>
      <c r="CO10" s="111"/>
      <c r="CP10" s="113"/>
      <c r="CQ10" s="97"/>
      <c r="CR10" s="110"/>
      <c r="CS10" s="97"/>
      <c r="CT10" s="112"/>
      <c r="CU10" s="111"/>
      <c r="CV10" s="113"/>
      <c r="CW10" s="97"/>
      <c r="CX10" s="112"/>
      <c r="CY10" s="111"/>
      <c r="CZ10" s="113"/>
      <c r="DA10" s="97"/>
      <c r="DB10" s="112"/>
      <c r="DC10" s="111"/>
      <c r="DD10" s="113"/>
      <c r="DE10" s="97"/>
      <c r="DF10" s="110"/>
      <c r="DG10" s="97"/>
      <c r="DH10" s="112"/>
      <c r="DI10" s="111"/>
      <c r="DJ10" s="113"/>
      <c r="DK10" s="97"/>
      <c r="DL10" s="112"/>
      <c r="DM10" s="111"/>
      <c r="DN10" s="113"/>
      <c r="DO10" s="97"/>
      <c r="DP10" s="112"/>
      <c r="DQ10" s="111"/>
      <c r="DR10" s="113"/>
      <c r="DS10" s="97"/>
      <c r="DT10" s="110"/>
      <c r="DU10" s="97"/>
      <c r="DV10" s="112"/>
      <c r="DW10" s="111"/>
      <c r="DX10" s="113"/>
      <c r="DY10" s="97"/>
      <c r="DZ10" s="112"/>
      <c r="EA10" s="111"/>
      <c r="EB10" s="113"/>
      <c r="EC10" s="97"/>
      <c r="ED10" s="112"/>
      <c r="EE10" s="111"/>
      <c r="EF10" s="113"/>
      <c r="EG10" s="97"/>
      <c r="EH10" s="110"/>
      <c r="EI10" s="97"/>
      <c r="EJ10" s="112"/>
      <c r="EK10" s="111"/>
      <c r="EL10" s="113"/>
      <c r="EM10" s="97"/>
      <c r="EN10" s="112"/>
      <c r="EO10" s="111"/>
      <c r="EP10" s="113"/>
    </row>
    <row r="11" spans="2:146">
      <c r="B11" s="115"/>
      <c r="C11" s="116" t="s">
        <v>69</v>
      </c>
      <c r="D11" s="117"/>
      <c r="E11" s="117"/>
      <c r="F11" s="118">
        <v>3672724</v>
      </c>
      <c r="G11" s="119"/>
      <c r="H11" s="118">
        <v>3939695</v>
      </c>
      <c r="I11" s="119"/>
      <c r="J11" s="118">
        <v>3927128</v>
      </c>
      <c r="K11" s="119"/>
      <c r="L11" s="120">
        <v>965008</v>
      </c>
      <c r="M11" s="121"/>
      <c r="N11" s="122">
        <f>P11-L11</f>
        <v>972576</v>
      </c>
      <c r="O11" s="123"/>
      <c r="P11" s="124">
        <v>1937584</v>
      </c>
      <c r="Q11" s="125"/>
      <c r="R11" s="122">
        <f>T11-P11</f>
        <v>983503</v>
      </c>
      <c r="S11" s="123"/>
      <c r="T11" s="124">
        <v>2921087</v>
      </c>
      <c r="U11" s="125"/>
      <c r="V11" s="122">
        <f>X11-T11</f>
        <v>991914</v>
      </c>
      <c r="W11" s="123"/>
      <c r="X11" s="124">
        <v>3913001</v>
      </c>
      <c r="Y11" s="125"/>
      <c r="Z11" s="120">
        <v>985113</v>
      </c>
      <c r="AA11" s="121"/>
      <c r="AB11" s="122">
        <f>AD11-Z11</f>
        <v>1002030</v>
      </c>
      <c r="AC11" s="121"/>
      <c r="AD11" s="126">
        <v>1987143</v>
      </c>
      <c r="AE11" s="121"/>
      <c r="AF11" s="122">
        <f>AH11-AD11</f>
        <v>1036609</v>
      </c>
      <c r="AG11" s="121"/>
      <c r="AH11" s="126">
        <v>3023752</v>
      </c>
      <c r="AI11" s="125"/>
      <c r="AJ11" s="122">
        <f>AL11-AH11</f>
        <v>1030045</v>
      </c>
      <c r="AK11" s="121"/>
      <c r="AL11" s="126">
        <v>4053797</v>
      </c>
      <c r="AM11" s="125"/>
      <c r="AN11" s="120">
        <v>1023820</v>
      </c>
      <c r="AO11" s="125"/>
      <c r="AP11" s="122">
        <f>AR11-AN11</f>
        <v>1029742</v>
      </c>
      <c r="AQ11" s="121"/>
      <c r="AR11" s="126">
        <v>2053562</v>
      </c>
      <c r="AS11" s="121"/>
      <c r="AT11" s="122">
        <f>AV11-AR11</f>
        <v>1036370</v>
      </c>
      <c r="AU11" s="121"/>
      <c r="AV11" s="126">
        <v>3089932</v>
      </c>
      <c r="AW11" s="125"/>
      <c r="AX11" s="122">
        <f>AZ11-AV11</f>
        <v>1008924</v>
      </c>
      <c r="AY11" s="121"/>
      <c r="AZ11" s="126">
        <v>4098856</v>
      </c>
      <c r="BA11" s="125"/>
      <c r="BB11" s="127">
        <v>996349</v>
      </c>
      <c r="BC11" s="128"/>
      <c r="BD11" s="122">
        <f>BF11-BB11</f>
        <v>910966</v>
      </c>
      <c r="BE11" s="123"/>
      <c r="BF11" s="129">
        <v>1907315</v>
      </c>
      <c r="BG11" s="123"/>
      <c r="BH11" s="122">
        <f>BJ11-BF11</f>
        <v>862330</v>
      </c>
      <c r="BI11" s="123"/>
      <c r="BJ11" s="129">
        <v>2769645</v>
      </c>
      <c r="BK11" s="125"/>
      <c r="BL11" s="122">
        <f>BN11-BJ11</f>
        <v>825128</v>
      </c>
      <c r="BM11" s="123"/>
      <c r="BN11" s="129">
        <v>3594773</v>
      </c>
      <c r="BO11" s="125"/>
      <c r="BP11" s="127">
        <v>853613</v>
      </c>
      <c r="BQ11" s="125"/>
      <c r="BR11" s="122">
        <f>BT11-BP11</f>
        <v>844000</v>
      </c>
      <c r="BS11" s="123"/>
      <c r="BT11" s="129">
        <f>1697086+527</f>
        <v>1697613</v>
      </c>
      <c r="BU11" s="125"/>
      <c r="BV11" s="122">
        <f>BX11-BT11</f>
        <v>853438</v>
      </c>
      <c r="BW11" s="123"/>
      <c r="BX11" s="129">
        <f>2548149+2902</f>
        <v>2551051</v>
      </c>
      <c r="BY11" s="125"/>
      <c r="BZ11" s="122">
        <f>CB11-BX11</f>
        <v>855604</v>
      </c>
      <c r="CA11" s="123"/>
      <c r="CB11" s="129">
        <f>3397937+8718</f>
        <v>3406655</v>
      </c>
      <c r="CC11" s="125"/>
      <c r="CD11" s="127">
        <f>828211+6722</f>
        <v>834933</v>
      </c>
      <c r="CE11" s="125"/>
      <c r="CF11" s="122">
        <f>CH11-CD11</f>
        <v>832084</v>
      </c>
      <c r="CG11" s="123"/>
      <c r="CH11" s="129">
        <f>1652584+14433</f>
        <v>1667017</v>
      </c>
      <c r="CI11" s="125"/>
      <c r="CJ11" s="122">
        <f>CL11-CH11</f>
        <v>905316</v>
      </c>
      <c r="CK11" s="123"/>
      <c r="CL11" s="129">
        <f>2548544+23789</f>
        <v>2572333</v>
      </c>
      <c r="CM11" s="125"/>
      <c r="CN11" s="122">
        <f>CP11-CL11</f>
        <v>811957</v>
      </c>
      <c r="CO11" s="123"/>
      <c r="CP11" s="129">
        <f>3350431+33859</f>
        <v>3384290</v>
      </c>
      <c r="CQ11" s="125"/>
      <c r="CR11" s="127">
        <f>759570+11358</f>
        <v>770928</v>
      </c>
      <c r="CS11" s="125"/>
      <c r="CT11" s="122">
        <f>761726+12222</f>
        <v>773948</v>
      </c>
      <c r="CU11" s="123"/>
      <c r="CV11" s="129">
        <f>1521297+23580</f>
        <v>1544877</v>
      </c>
      <c r="CW11" s="125"/>
      <c r="CX11" s="122">
        <f>771233+13006</f>
        <v>784239</v>
      </c>
      <c r="CY11" s="123"/>
      <c r="CZ11" s="129">
        <f>2292530+36586</f>
        <v>2329116</v>
      </c>
      <c r="DA11" s="125"/>
      <c r="DB11" s="122">
        <f>737344+14748</f>
        <v>752092</v>
      </c>
      <c r="DC11" s="123"/>
      <c r="DD11" s="129">
        <f>3029874+51334</f>
        <v>3081208</v>
      </c>
      <c r="DE11" s="125"/>
      <c r="DF11" s="127">
        <v>746304</v>
      </c>
      <c r="DG11" s="125"/>
      <c r="DH11" s="122">
        <v>739584</v>
      </c>
      <c r="DI11" s="123"/>
      <c r="DJ11" s="129">
        <v>1485888</v>
      </c>
      <c r="DK11" s="125"/>
      <c r="DL11" s="122">
        <v>737174</v>
      </c>
      <c r="DM11" s="123"/>
      <c r="DN11" s="129">
        <v>2223061</v>
      </c>
      <c r="DO11" s="125"/>
      <c r="DP11" s="122">
        <v>755165</v>
      </c>
      <c r="DQ11" s="123"/>
      <c r="DR11" s="129">
        <v>2978227</v>
      </c>
      <c r="DS11" s="125"/>
      <c r="DT11" s="127">
        <v>723993</v>
      </c>
      <c r="DU11" s="125"/>
      <c r="DV11" s="122">
        <v>740581</v>
      </c>
      <c r="DW11" s="123"/>
      <c r="DX11" s="129">
        <v>1464574</v>
      </c>
      <c r="DY11" s="125"/>
      <c r="DZ11" s="122">
        <v>759494</v>
      </c>
      <c r="EA11" s="123"/>
      <c r="EB11" s="129">
        <v>2224068</v>
      </c>
      <c r="EC11" s="125"/>
      <c r="ED11" s="122">
        <v>753750</v>
      </c>
      <c r="EE11" s="123"/>
      <c r="EF11" s="129">
        <v>2977818</v>
      </c>
      <c r="EG11" s="125"/>
      <c r="EH11" s="127">
        <v>741321</v>
      </c>
      <c r="EI11" s="125"/>
      <c r="EJ11" s="122">
        <v>757017</v>
      </c>
      <c r="EK11" s="123"/>
      <c r="EL11" s="129">
        <v>1498338</v>
      </c>
      <c r="EM11" s="125"/>
      <c r="EN11" s="122">
        <v>773947</v>
      </c>
      <c r="EO11" s="123"/>
      <c r="EP11" s="129">
        <v>2272285</v>
      </c>
    </row>
    <row r="12" spans="2:146">
      <c r="B12" s="130"/>
      <c r="C12" s="116" t="s">
        <v>70</v>
      </c>
      <c r="D12" s="116"/>
      <c r="E12" s="116"/>
      <c r="F12" s="131">
        <v>267027</v>
      </c>
      <c r="G12" s="132"/>
      <c r="H12" s="131">
        <v>302859</v>
      </c>
      <c r="I12" s="132"/>
      <c r="J12" s="131">
        <v>286752</v>
      </c>
      <c r="K12" s="132"/>
      <c r="L12" s="133">
        <v>58849</v>
      </c>
      <c r="M12" s="134"/>
      <c r="N12" s="135">
        <f>P12-L12</f>
        <v>57317</v>
      </c>
      <c r="O12" s="136"/>
      <c r="P12" s="113">
        <v>116166</v>
      </c>
      <c r="Q12" s="111"/>
      <c r="R12" s="135">
        <f>T12-P12</f>
        <v>77278</v>
      </c>
      <c r="S12" s="136"/>
      <c r="T12" s="113">
        <v>193444</v>
      </c>
      <c r="U12" s="111"/>
      <c r="V12" s="135">
        <f>X12-T12</f>
        <v>71236</v>
      </c>
      <c r="W12" s="136"/>
      <c r="X12" s="113">
        <v>264680</v>
      </c>
      <c r="Y12" s="111"/>
      <c r="Z12" s="133">
        <v>71979</v>
      </c>
      <c r="AA12" s="134"/>
      <c r="AB12" s="135">
        <f>AD12-Z12</f>
        <v>74152</v>
      </c>
      <c r="AC12" s="134"/>
      <c r="AD12" s="137">
        <v>146131</v>
      </c>
      <c r="AE12" s="134"/>
      <c r="AF12" s="135">
        <f>AH12-AD12</f>
        <v>73830</v>
      </c>
      <c r="AG12" s="134"/>
      <c r="AH12" s="137">
        <v>219961</v>
      </c>
      <c r="AI12" s="97"/>
      <c r="AJ12" s="135">
        <f>AL12-AH12</f>
        <v>69588</v>
      </c>
      <c r="AK12" s="134"/>
      <c r="AL12" s="137">
        <v>289549</v>
      </c>
      <c r="AM12" s="97"/>
      <c r="AN12" s="133">
        <v>68301</v>
      </c>
      <c r="AO12" s="97"/>
      <c r="AP12" s="135">
        <f>AR12-AN12</f>
        <v>74658</v>
      </c>
      <c r="AQ12" s="134"/>
      <c r="AR12" s="137">
        <v>142959</v>
      </c>
      <c r="AS12" s="134"/>
      <c r="AT12" s="135">
        <f>AV12-AR12</f>
        <v>103987</v>
      </c>
      <c r="AU12" s="134"/>
      <c r="AV12" s="137">
        <v>246946</v>
      </c>
      <c r="AW12" s="97"/>
      <c r="AX12" s="135">
        <f>AZ12-AV12</f>
        <v>106282</v>
      </c>
      <c r="AY12" s="134"/>
      <c r="AZ12" s="137">
        <v>353228</v>
      </c>
      <c r="BA12" s="97"/>
      <c r="BB12" s="138">
        <v>85397</v>
      </c>
      <c r="BC12" s="114"/>
      <c r="BD12" s="135">
        <f>BF12-BB12</f>
        <v>84164</v>
      </c>
      <c r="BE12" s="136"/>
      <c r="BF12" s="139">
        <v>169561</v>
      </c>
      <c r="BG12" s="136"/>
      <c r="BH12" s="135">
        <f>BJ12-BF12</f>
        <v>76906</v>
      </c>
      <c r="BI12" s="136"/>
      <c r="BJ12" s="139">
        <v>246467</v>
      </c>
      <c r="BK12" s="97"/>
      <c r="BL12" s="135">
        <f>BN12-BJ12</f>
        <v>77596</v>
      </c>
      <c r="BM12" s="136"/>
      <c r="BN12" s="139">
        <v>324063</v>
      </c>
      <c r="BO12" s="97"/>
      <c r="BP12" s="138">
        <v>72198</v>
      </c>
      <c r="BQ12" s="97"/>
      <c r="BR12" s="135">
        <f>BT12-BP12</f>
        <v>114300</v>
      </c>
      <c r="BS12" s="136"/>
      <c r="BT12" s="139">
        <v>186498</v>
      </c>
      <c r="BU12" s="97"/>
      <c r="BV12" s="135">
        <f>BX12-BT12</f>
        <v>149356</v>
      </c>
      <c r="BW12" s="136"/>
      <c r="BX12" s="139">
        <v>335854</v>
      </c>
      <c r="BY12" s="97"/>
      <c r="BZ12" s="135">
        <f>CB12-BX12</f>
        <v>158956</v>
      </c>
      <c r="CA12" s="136"/>
      <c r="CB12" s="139">
        <v>494810</v>
      </c>
      <c r="CC12" s="97"/>
      <c r="CD12" s="138">
        <v>137034</v>
      </c>
      <c r="CE12" s="97"/>
      <c r="CF12" s="135">
        <f>CH12-CD12</f>
        <v>151294</v>
      </c>
      <c r="CG12" s="136"/>
      <c r="CH12" s="139">
        <v>288328</v>
      </c>
      <c r="CI12" s="97"/>
      <c r="CJ12" s="135">
        <f>CL12-CH12</f>
        <v>172946</v>
      </c>
      <c r="CK12" s="136"/>
      <c r="CL12" s="139">
        <v>461274</v>
      </c>
      <c r="CM12" s="97"/>
      <c r="CN12" s="135">
        <f>CP12-CL12</f>
        <v>185148</v>
      </c>
      <c r="CO12" s="136"/>
      <c r="CP12" s="139">
        <v>646422</v>
      </c>
      <c r="CQ12" s="97"/>
      <c r="CR12" s="138">
        <v>198796</v>
      </c>
      <c r="CS12" s="97"/>
      <c r="CT12" s="135">
        <v>217879</v>
      </c>
      <c r="CU12" s="136"/>
      <c r="CV12" s="139">
        <v>416674</v>
      </c>
      <c r="CW12" s="97"/>
      <c r="CX12" s="135">
        <v>238635</v>
      </c>
      <c r="CY12" s="136"/>
      <c r="CZ12" s="139">
        <v>655309</v>
      </c>
      <c r="DA12" s="97"/>
      <c r="DB12" s="135">
        <v>253706</v>
      </c>
      <c r="DC12" s="136"/>
      <c r="DD12" s="139">
        <v>909015</v>
      </c>
      <c r="DE12" s="97"/>
      <c r="DF12" s="138">
        <v>190189</v>
      </c>
      <c r="DG12" s="97"/>
      <c r="DH12" s="135">
        <v>222922</v>
      </c>
      <c r="DI12" s="136"/>
      <c r="DJ12" s="139">
        <v>413111</v>
      </c>
      <c r="DK12" s="97"/>
      <c r="DL12" s="135">
        <v>225523</v>
      </c>
      <c r="DM12" s="136"/>
      <c r="DN12" s="139">
        <v>638635</v>
      </c>
      <c r="DO12" s="97"/>
      <c r="DP12" s="135">
        <v>273527</v>
      </c>
      <c r="DQ12" s="136"/>
      <c r="DR12" s="139">
        <v>912161</v>
      </c>
      <c r="DS12" s="97"/>
      <c r="DT12" s="138">
        <v>217715</v>
      </c>
      <c r="DU12" s="97"/>
      <c r="DV12" s="135">
        <v>232962</v>
      </c>
      <c r="DW12" s="136"/>
      <c r="DX12" s="139">
        <v>450676</v>
      </c>
      <c r="DY12" s="97"/>
      <c r="DZ12" s="135">
        <v>241573</v>
      </c>
      <c r="EA12" s="136"/>
      <c r="EB12" s="139">
        <v>692249</v>
      </c>
      <c r="EC12" s="97"/>
      <c r="ED12" s="135">
        <v>297067</v>
      </c>
      <c r="EE12" s="136"/>
      <c r="EF12" s="139">
        <v>989316</v>
      </c>
      <c r="EG12" s="97"/>
      <c r="EH12" s="138">
        <v>224432</v>
      </c>
      <c r="EI12" s="97"/>
      <c r="EJ12" s="135">
        <v>216407</v>
      </c>
      <c r="EK12" s="136"/>
      <c r="EL12" s="139">
        <v>440839</v>
      </c>
      <c r="EM12" s="97"/>
      <c r="EN12" s="135">
        <v>256826</v>
      </c>
      <c r="EO12" s="136"/>
      <c r="EP12" s="139">
        <v>697665</v>
      </c>
    </row>
    <row r="13" spans="2:146">
      <c r="B13" s="140"/>
      <c r="C13" s="141"/>
      <c r="D13" s="100" t="s">
        <v>71</v>
      </c>
      <c r="E13" s="141"/>
      <c r="F13" s="142">
        <f>F11+F12</f>
        <v>3939751</v>
      </c>
      <c r="G13" s="132"/>
      <c r="H13" s="142">
        <f>H11+H12</f>
        <v>4242554</v>
      </c>
      <c r="I13" s="132"/>
      <c r="J13" s="142">
        <f>J11+J12</f>
        <v>4213880</v>
      </c>
      <c r="K13" s="132"/>
      <c r="L13" s="142">
        <f>L11+L12</f>
        <v>1023857</v>
      </c>
      <c r="M13" s="111"/>
      <c r="N13" s="143">
        <f>N11+N12</f>
        <v>1029893</v>
      </c>
      <c r="O13" s="111"/>
      <c r="P13" s="144">
        <f>P11+P12</f>
        <v>2053750</v>
      </c>
      <c r="Q13" s="111"/>
      <c r="R13" s="143">
        <f>R11+R12</f>
        <v>1060781</v>
      </c>
      <c r="S13" s="111"/>
      <c r="T13" s="144">
        <f>T11+T12</f>
        <v>3114531</v>
      </c>
      <c r="U13" s="111"/>
      <c r="V13" s="143">
        <f>V11+V12</f>
        <v>1063150</v>
      </c>
      <c r="W13" s="111"/>
      <c r="X13" s="145">
        <f>X11+X12</f>
        <v>4177681</v>
      </c>
      <c r="Y13" s="111"/>
      <c r="Z13" s="142">
        <f>Z11+Z12</f>
        <v>1057092</v>
      </c>
      <c r="AA13" s="111"/>
      <c r="AB13" s="143">
        <f>AB11+AB12</f>
        <v>1076182</v>
      </c>
      <c r="AC13" s="111"/>
      <c r="AD13" s="144">
        <f>AD11+AD12</f>
        <v>2133274</v>
      </c>
      <c r="AE13" s="111"/>
      <c r="AF13" s="143">
        <f>AF11+AF12</f>
        <v>1110439</v>
      </c>
      <c r="AG13" s="111"/>
      <c r="AH13" s="144">
        <f>AH11+AH12</f>
        <v>3243713</v>
      </c>
      <c r="AI13" s="146"/>
      <c r="AJ13" s="143">
        <f>AJ11+AJ12</f>
        <v>1099633</v>
      </c>
      <c r="AK13" s="111"/>
      <c r="AL13" s="145">
        <f>AL11+AL12</f>
        <v>4343346</v>
      </c>
      <c r="AM13" s="146"/>
      <c r="AN13" s="142">
        <f>AN11+AN12</f>
        <v>1092121</v>
      </c>
      <c r="AO13" s="146"/>
      <c r="AP13" s="143">
        <f>AP11+AP12</f>
        <v>1104400</v>
      </c>
      <c r="AQ13" s="111"/>
      <c r="AR13" s="144">
        <f>AR11+AR12</f>
        <v>2196521</v>
      </c>
      <c r="AS13" s="111"/>
      <c r="AT13" s="143">
        <f>AT11+AT12</f>
        <v>1140357</v>
      </c>
      <c r="AU13" s="111"/>
      <c r="AV13" s="144">
        <f>AV11+AV12</f>
        <v>3336878</v>
      </c>
      <c r="AW13" s="146"/>
      <c r="AX13" s="143">
        <f>AX11+AX12</f>
        <v>1115206</v>
      </c>
      <c r="AY13" s="111"/>
      <c r="AZ13" s="145">
        <f>AZ11+AZ12</f>
        <v>4452084</v>
      </c>
      <c r="BA13" s="146"/>
      <c r="BB13" s="142">
        <f>BB11+BB12</f>
        <v>1081746</v>
      </c>
      <c r="BC13" s="147"/>
      <c r="BD13" s="143">
        <f>BD11+BD12</f>
        <v>995130</v>
      </c>
      <c r="BE13" s="111"/>
      <c r="BF13" s="144">
        <f>BF11+BF12</f>
        <v>2076876</v>
      </c>
      <c r="BG13" s="111"/>
      <c r="BH13" s="143">
        <f>BH11+BH12</f>
        <v>939236</v>
      </c>
      <c r="BI13" s="111"/>
      <c r="BJ13" s="144">
        <f>BJ11+BJ12</f>
        <v>3016112</v>
      </c>
      <c r="BK13" s="146"/>
      <c r="BL13" s="143">
        <f>BL11+BL12</f>
        <v>902724</v>
      </c>
      <c r="BM13" s="111"/>
      <c r="BN13" s="145">
        <f>BN11+BN12</f>
        <v>3918836</v>
      </c>
      <c r="BO13" s="146"/>
      <c r="BP13" s="142">
        <f>BP11+BP12</f>
        <v>925811</v>
      </c>
      <c r="BQ13" s="146"/>
      <c r="BR13" s="143">
        <f>BR11+BR12</f>
        <v>958300</v>
      </c>
      <c r="BS13" s="111"/>
      <c r="BT13" s="144">
        <f>BT11+BT12</f>
        <v>1884111</v>
      </c>
      <c r="BU13" s="146"/>
      <c r="BV13" s="143">
        <f>BV11+BV12</f>
        <v>1002794</v>
      </c>
      <c r="BW13" s="111"/>
      <c r="BX13" s="144">
        <f>BX11+BX12</f>
        <v>2886905</v>
      </c>
      <c r="BY13" s="146"/>
      <c r="BZ13" s="143">
        <f>BZ11+BZ12</f>
        <v>1014560</v>
      </c>
      <c r="CA13" s="111"/>
      <c r="CB13" s="144">
        <f>CB11+CB12</f>
        <v>3901465</v>
      </c>
      <c r="CC13" s="146"/>
      <c r="CD13" s="142">
        <f>CD11+CD12</f>
        <v>971967</v>
      </c>
      <c r="CE13" s="146"/>
      <c r="CF13" s="143">
        <f>CF11+CF12</f>
        <v>983378</v>
      </c>
      <c r="CG13" s="111"/>
      <c r="CH13" s="144">
        <f>CH11+CH12</f>
        <v>1955345</v>
      </c>
      <c r="CI13" s="146"/>
      <c r="CJ13" s="143">
        <f>CJ11+CJ12</f>
        <v>1078262</v>
      </c>
      <c r="CK13" s="111"/>
      <c r="CL13" s="144">
        <f>CL11+CL12</f>
        <v>3033607</v>
      </c>
      <c r="CM13" s="146"/>
      <c r="CN13" s="143">
        <f>CN11+CN12</f>
        <v>997105</v>
      </c>
      <c r="CO13" s="111"/>
      <c r="CP13" s="144">
        <f>CP11+CP12</f>
        <v>4030712</v>
      </c>
      <c r="CQ13" s="146"/>
      <c r="CR13" s="142">
        <f>CR11+CR12</f>
        <v>969724</v>
      </c>
      <c r="CS13" s="146"/>
      <c r="CT13" s="143">
        <f>CT11+CT12</f>
        <v>991827</v>
      </c>
      <c r="CU13" s="111"/>
      <c r="CV13" s="144">
        <f>CV11+CV12</f>
        <v>1961551</v>
      </c>
      <c r="CW13" s="146"/>
      <c r="CX13" s="143">
        <f>CX11+CX12</f>
        <v>1022874</v>
      </c>
      <c r="CY13" s="111"/>
      <c r="CZ13" s="144">
        <f>CZ11+CZ12</f>
        <v>2984425</v>
      </c>
      <c r="DA13" s="146"/>
      <c r="DB13" s="143">
        <f>DB11+DB12</f>
        <v>1005798</v>
      </c>
      <c r="DC13" s="111"/>
      <c r="DD13" s="144">
        <f>DD11+DD12</f>
        <v>3990223</v>
      </c>
      <c r="DE13" s="146"/>
      <c r="DF13" s="142">
        <f>DF11+DF12</f>
        <v>936493</v>
      </c>
      <c r="DG13" s="146"/>
      <c r="DH13" s="143">
        <f>DH11+DH12</f>
        <v>962506</v>
      </c>
      <c r="DI13" s="111"/>
      <c r="DJ13" s="144">
        <f>DJ11+DJ12</f>
        <v>1898999</v>
      </c>
      <c r="DK13" s="146"/>
      <c r="DL13" s="143">
        <f>DL11+DL12</f>
        <v>962697</v>
      </c>
      <c r="DM13" s="111"/>
      <c r="DN13" s="144">
        <f>DN11+DN12</f>
        <v>2861696</v>
      </c>
      <c r="DO13" s="146"/>
      <c r="DP13" s="143">
        <f>DP11+DP12</f>
        <v>1028692</v>
      </c>
      <c r="DQ13" s="111"/>
      <c r="DR13" s="144">
        <f>DR11+DR12</f>
        <v>3890388</v>
      </c>
      <c r="DS13" s="146"/>
      <c r="DT13" s="142">
        <f>DT11+DT12</f>
        <v>941708</v>
      </c>
      <c r="DU13" s="146"/>
      <c r="DV13" s="143">
        <f>DV11+DV12</f>
        <v>973543</v>
      </c>
      <c r="DW13" s="111"/>
      <c r="DX13" s="144">
        <f>DX11+DX12</f>
        <v>1915250</v>
      </c>
      <c r="DY13" s="146"/>
      <c r="DZ13" s="143">
        <f>DZ11+DZ12</f>
        <v>1001067</v>
      </c>
      <c r="EA13" s="111"/>
      <c r="EB13" s="144">
        <f>EB11+EB12</f>
        <v>2916317</v>
      </c>
      <c r="EC13" s="146"/>
      <c r="ED13" s="143">
        <f>ED11+ED12</f>
        <v>1050817</v>
      </c>
      <c r="EE13" s="111"/>
      <c r="EF13" s="144">
        <f>EF11+EF12</f>
        <v>3967134</v>
      </c>
      <c r="EG13" s="146"/>
      <c r="EH13" s="142">
        <f>EH11+EH12</f>
        <v>965753</v>
      </c>
      <c r="EI13" s="146"/>
      <c r="EJ13" s="143">
        <f>EJ11+EJ12</f>
        <v>973424</v>
      </c>
      <c r="EK13" s="111"/>
      <c r="EL13" s="144">
        <f>EL11+EL12</f>
        <v>1939177</v>
      </c>
      <c r="EM13" s="146"/>
      <c r="EN13" s="143">
        <f>EN11+EN12</f>
        <v>1030773</v>
      </c>
      <c r="EO13" s="111"/>
      <c r="EP13" s="144">
        <f>EP11+EP12</f>
        <v>2969950</v>
      </c>
    </row>
    <row r="14" spans="2:146">
      <c r="B14" s="130"/>
      <c r="C14" s="107"/>
      <c r="D14" s="148"/>
      <c r="E14" s="107"/>
      <c r="F14" s="131"/>
      <c r="G14" s="132"/>
      <c r="H14" s="131"/>
      <c r="I14" s="132"/>
      <c r="J14" s="131"/>
      <c r="K14" s="132"/>
      <c r="L14" s="110"/>
      <c r="M14" s="111"/>
      <c r="N14" s="112"/>
      <c r="O14" s="111"/>
      <c r="P14" s="113"/>
      <c r="Q14" s="111"/>
      <c r="R14" s="112"/>
      <c r="S14" s="111"/>
      <c r="T14" s="113"/>
      <c r="U14" s="111"/>
      <c r="V14" s="112"/>
      <c r="W14" s="111"/>
      <c r="X14" s="113"/>
      <c r="Y14" s="111"/>
      <c r="Z14" s="110"/>
      <c r="AA14" s="111"/>
      <c r="AB14" s="112"/>
      <c r="AC14" s="111"/>
      <c r="AD14" s="113"/>
      <c r="AE14" s="111"/>
      <c r="AF14" s="112"/>
      <c r="AG14" s="111"/>
      <c r="AH14" s="113"/>
      <c r="AI14" s="97"/>
      <c r="AJ14" s="112"/>
      <c r="AK14" s="111"/>
      <c r="AL14" s="113"/>
      <c r="AM14" s="97"/>
      <c r="AN14" s="110"/>
      <c r="AO14" s="97"/>
      <c r="AP14" s="112"/>
      <c r="AQ14" s="111"/>
      <c r="AR14" s="113"/>
      <c r="AS14" s="111"/>
      <c r="AT14" s="112"/>
      <c r="AU14" s="111"/>
      <c r="AV14" s="113"/>
      <c r="AW14" s="97"/>
      <c r="AX14" s="112"/>
      <c r="AY14" s="111"/>
      <c r="AZ14" s="113"/>
      <c r="BA14" s="97"/>
      <c r="BB14" s="110"/>
      <c r="BC14" s="114"/>
      <c r="BD14" s="112"/>
      <c r="BE14" s="111"/>
      <c r="BF14" s="113"/>
      <c r="BG14" s="111"/>
      <c r="BH14" s="112"/>
      <c r="BI14" s="111"/>
      <c r="BJ14" s="113"/>
      <c r="BK14" s="97"/>
      <c r="BL14" s="112"/>
      <c r="BM14" s="111"/>
      <c r="BN14" s="113"/>
      <c r="BO14" s="97"/>
      <c r="BP14" s="110"/>
      <c r="BQ14" s="97"/>
      <c r="BR14" s="112"/>
      <c r="BS14" s="111"/>
      <c r="BT14" s="113"/>
      <c r="BU14" s="97"/>
      <c r="BV14" s="112"/>
      <c r="BW14" s="111"/>
      <c r="BX14" s="113"/>
      <c r="BY14" s="97"/>
      <c r="BZ14" s="112"/>
      <c r="CA14" s="111"/>
      <c r="CB14" s="113"/>
      <c r="CC14" s="97"/>
      <c r="CD14" s="110"/>
      <c r="CE14" s="97"/>
      <c r="CF14" s="112"/>
      <c r="CG14" s="111"/>
      <c r="CH14" s="113"/>
      <c r="CI14" s="97"/>
      <c r="CJ14" s="112"/>
      <c r="CK14" s="111"/>
      <c r="CL14" s="113"/>
      <c r="CM14" s="97"/>
      <c r="CN14" s="112"/>
      <c r="CO14" s="111"/>
      <c r="CP14" s="113"/>
      <c r="CQ14" s="97"/>
      <c r="CR14" s="110"/>
      <c r="CS14" s="97"/>
      <c r="CT14" s="112"/>
      <c r="CU14" s="111"/>
      <c r="CV14" s="113"/>
      <c r="CW14" s="97"/>
      <c r="CX14" s="112"/>
      <c r="CY14" s="111"/>
      <c r="CZ14" s="113"/>
      <c r="DA14" s="97"/>
      <c r="DB14" s="112"/>
      <c r="DC14" s="111"/>
      <c r="DD14" s="113"/>
      <c r="DE14" s="97"/>
      <c r="DF14" s="110"/>
      <c r="DG14" s="97"/>
      <c r="DH14" s="112"/>
      <c r="DI14" s="111"/>
      <c r="DJ14" s="113"/>
      <c r="DK14" s="97"/>
      <c r="DL14" s="112"/>
      <c r="DM14" s="111"/>
      <c r="DN14" s="113"/>
      <c r="DO14" s="97"/>
      <c r="DP14" s="112"/>
      <c r="DQ14" s="111"/>
      <c r="DR14" s="113"/>
      <c r="DS14" s="97"/>
      <c r="DT14" s="110"/>
      <c r="DU14" s="97"/>
      <c r="DV14" s="112"/>
      <c r="DW14" s="111"/>
      <c r="DX14" s="113"/>
      <c r="DY14" s="97"/>
      <c r="DZ14" s="112"/>
      <c r="EA14" s="111"/>
      <c r="EB14" s="113"/>
      <c r="EC14" s="97"/>
      <c r="ED14" s="112"/>
      <c r="EE14" s="111"/>
      <c r="EF14" s="113"/>
      <c r="EG14" s="97"/>
      <c r="EH14" s="110"/>
      <c r="EI14" s="97"/>
      <c r="EJ14" s="112"/>
      <c r="EK14" s="111"/>
      <c r="EL14" s="113"/>
      <c r="EM14" s="97"/>
      <c r="EN14" s="112"/>
      <c r="EO14" s="111"/>
      <c r="EP14" s="113"/>
    </row>
    <row r="15" spans="2:146">
      <c r="B15" s="149" t="s">
        <v>28</v>
      </c>
      <c r="C15" s="107"/>
      <c r="D15" s="107"/>
      <c r="E15" s="107"/>
      <c r="F15" s="131"/>
      <c r="G15" s="132"/>
      <c r="H15" s="131"/>
      <c r="I15" s="132"/>
      <c r="J15" s="131"/>
      <c r="K15" s="132"/>
      <c r="L15" s="110"/>
      <c r="M15" s="111"/>
      <c r="N15" s="112"/>
      <c r="O15" s="111"/>
      <c r="P15" s="113"/>
      <c r="Q15" s="111"/>
      <c r="R15" s="112"/>
      <c r="S15" s="111"/>
      <c r="T15" s="113"/>
      <c r="U15" s="111"/>
      <c r="V15" s="112"/>
      <c r="W15" s="111"/>
      <c r="X15" s="113"/>
      <c r="Y15" s="111"/>
      <c r="Z15" s="110"/>
      <c r="AA15" s="111"/>
      <c r="AB15" s="112"/>
      <c r="AC15" s="111"/>
      <c r="AD15" s="113"/>
      <c r="AE15" s="111"/>
      <c r="AF15" s="112"/>
      <c r="AG15" s="111"/>
      <c r="AH15" s="113"/>
      <c r="AI15" s="97"/>
      <c r="AJ15" s="112"/>
      <c r="AK15" s="111"/>
      <c r="AL15" s="113"/>
      <c r="AM15" s="97"/>
      <c r="AN15" s="110"/>
      <c r="AO15" s="97"/>
      <c r="AP15" s="112"/>
      <c r="AQ15" s="111"/>
      <c r="AR15" s="113"/>
      <c r="AS15" s="111"/>
      <c r="AT15" s="112"/>
      <c r="AU15" s="111"/>
      <c r="AV15" s="113"/>
      <c r="AW15" s="97"/>
      <c r="AX15" s="112"/>
      <c r="AY15" s="111"/>
      <c r="AZ15" s="113"/>
      <c r="BA15" s="97"/>
      <c r="BB15" s="110"/>
      <c r="BC15" s="114"/>
      <c r="BD15" s="112"/>
      <c r="BE15" s="111"/>
      <c r="BF15" s="113"/>
      <c r="BG15" s="111"/>
      <c r="BH15" s="112"/>
      <c r="BI15" s="111"/>
      <c r="BJ15" s="113"/>
      <c r="BK15" s="97"/>
      <c r="BL15" s="112"/>
      <c r="BM15" s="111"/>
      <c r="BN15" s="113"/>
      <c r="BO15" s="97"/>
      <c r="BP15" s="110"/>
      <c r="BQ15" s="97"/>
      <c r="BR15" s="112"/>
      <c r="BS15" s="111"/>
      <c r="BT15" s="113"/>
      <c r="BU15" s="97"/>
      <c r="BV15" s="112"/>
      <c r="BW15" s="111"/>
      <c r="BX15" s="113"/>
      <c r="BY15" s="97"/>
      <c r="BZ15" s="112"/>
      <c r="CA15" s="111"/>
      <c r="CB15" s="113"/>
      <c r="CC15" s="97"/>
      <c r="CD15" s="110"/>
      <c r="CE15" s="97"/>
      <c r="CF15" s="112"/>
      <c r="CG15" s="111"/>
      <c r="CH15" s="113"/>
      <c r="CI15" s="97"/>
      <c r="CJ15" s="112"/>
      <c r="CK15" s="111"/>
      <c r="CL15" s="113"/>
      <c r="CM15" s="97"/>
      <c r="CN15" s="112"/>
      <c r="CO15" s="111"/>
      <c r="CP15" s="113"/>
      <c r="CQ15" s="97"/>
      <c r="CR15" s="110"/>
      <c r="CS15" s="97"/>
      <c r="CT15" s="112"/>
      <c r="CU15" s="111"/>
      <c r="CV15" s="113"/>
      <c r="CW15" s="97"/>
      <c r="CX15" s="112"/>
      <c r="CY15" s="111"/>
      <c r="CZ15" s="113"/>
      <c r="DA15" s="97"/>
      <c r="DB15" s="112"/>
      <c r="DC15" s="111"/>
      <c r="DD15" s="113"/>
      <c r="DE15" s="97"/>
      <c r="DF15" s="110"/>
      <c r="DG15" s="97"/>
      <c r="DH15" s="112"/>
      <c r="DI15" s="111"/>
      <c r="DJ15" s="113"/>
      <c r="DK15" s="97"/>
      <c r="DL15" s="112"/>
      <c r="DM15" s="111"/>
      <c r="DN15" s="113"/>
      <c r="DO15" s="97"/>
      <c r="DP15" s="112"/>
      <c r="DQ15" s="111"/>
      <c r="DR15" s="113"/>
      <c r="DS15" s="97"/>
      <c r="DT15" s="110"/>
      <c r="DU15" s="97"/>
      <c r="DV15" s="112"/>
      <c r="DW15" s="111"/>
      <c r="DX15" s="113"/>
      <c r="DY15" s="97"/>
      <c r="DZ15" s="112"/>
      <c r="EA15" s="111"/>
      <c r="EB15" s="113"/>
      <c r="EC15" s="97"/>
      <c r="ED15" s="112"/>
      <c r="EE15" s="111"/>
      <c r="EF15" s="113"/>
      <c r="EG15" s="97"/>
      <c r="EH15" s="110"/>
      <c r="EI15" s="97"/>
      <c r="EJ15" s="112"/>
      <c r="EK15" s="111"/>
      <c r="EL15" s="113"/>
      <c r="EM15" s="97"/>
      <c r="EN15" s="112"/>
      <c r="EO15" s="111"/>
      <c r="EP15" s="113"/>
    </row>
    <row r="16" spans="2:146">
      <c r="B16" s="130"/>
      <c r="C16" s="116" t="s">
        <v>72</v>
      </c>
      <c r="D16" s="116"/>
      <c r="E16" s="116"/>
      <c r="F16" s="131"/>
      <c r="G16" s="132"/>
      <c r="H16" s="131"/>
      <c r="I16" s="132"/>
      <c r="J16" s="131"/>
      <c r="K16" s="132"/>
      <c r="L16" s="110"/>
      <c r="M16" s="111"/>
      <c r="N16" s="112"/>
      <c r="O16" s="111"/>
      <c r="P16" s="113"/>
      <c r="Q16" s="111"/>
      <c r="R16" s="112"/>
      <c r="S16" s="111"/>
      <c r="T16" s="113"/>
      <c r="U16" s="111"/>
      <c r="V16" s="112"/>
      <c r="W16" s="111"/>
      <c r="X16" s="113"/>
      <c r="Y16" s="111"/>
      <c r="Z16" s="110"/>
      <c r="AA16" s="111"/>
      <c r="AB16" s="112"/>
      <c r="AC16" s="111"/>
      <c r="AD16" s="113"/>
      <c r="AE16" s="111"/>
      <c r="AF16" s="112"/>
      <c r="AG16" s="111"/>
      <c r="AH16" s="113"/>
      <c r="AI16" s="97"/>
      <c r="AJ16" s="112"/>
      <c r="AK16" s="111"/>
      <c r="AL16" s="113"/>
      <c r="AM16" s="97"/>
      <c r="AN16" s="110"/>
      <c r="AO16" s="97"/>
      <c r="AP16" s="112"/>
      <c r="AQ16" s="111"/>
      <c r="AR16" s="113"/>
      <c r="AS16" s="111"/>
      <c r="AT16" s="112"/>
      <c r="AU16" s="111"/>
      <c r="AV16" s="113"/>
      <c r="AW16" s="97"/>
      <c r="AX16" s="112"/>
      <c r="AY16" s="111"/>
      <c r="AZ16" s="113"/>
      <c r="BA16" s="97"/>
      <c r="BB16" s="110"/>
      <c r="BC16" s="114"/>
      <c r="BD16" s="112"/>
      <c r="BE16" s="111"/>
      <c r="BF16" s="113"/>
      <c r="BG16" s="111"/>
      <c r="BH16" s="112"/>
      <c r="BI16" s="111"/>
      <c r="BJ16" s="113"/>
      <c r="BK16" s="97"/>
      <c r="BL16" s="112"/>
      <c r="BM16" s="111"/>
      <c r="BN16" s="113"/>
      <c r="BO16" s="97"/>
      <c r="BP16" s="110"/>
      <c r="BQ16" s="97"/>
      <c r="BR16" s="112"/>
      <c r="BS16" s="111"/>
      <c r="BT16" s="113"/>
      <c r="BU16" s="97"/>
      <c r="BV16" s="112"/>
      <c r="BW16" s="111"/>
      <c r="BX16" s="113"/>
      <c r="BY16" s="97"/>
      <c r="BZ16" s="112"/>
      <c r="CA16" s="111"/>
      <c r="CB16" s="113"/>
      <c r="CC16" s="97"/>
      <c r="CD16" s="110"/>
      <c r="CE16" s="97"/>
      <c r="CF16" s="112"/>
      <c r="CG16" s="111"/>
      <c r="CH16" s="113"/>
      <c r="CI16" s="97"/>
      <c r="CJ16" s="112"/>
      <c r="CK16" s="111"/>
      <c r="CL16" s="113"/>
      <c r="CM16" s="97"/>
      <c r="CN16" s="112"/>
      <c r="CO16" s="111"/>
      <c r="CP16" s="113"/>
      <c r="CQ16" s="97"/>
      <c r="CR16" s="110"/>
      <c r="CS16" s="97"/>
      <c r="CT16" s="112"/>
      <c r="CU16" s="111"/>
      <c r="CV16" s="113"/>
      <c r="CW16" s="97"/>
      <c r="CX16" s="112"/>
      <c r="CY16" s="111"/>
      <c r="CZ16" s="113"/>
      <c r="DA16" s="97"/>
      <c r="DB16" s="112"/>
      <c r="DC16" s="111"/>
      <c r="DD16" s="113"/>
      <c r="DE16" s="97"/>
      <c r="DF16" s="110"/>
      <c r="DG16" s="97"/>
      <c r="DH16" s="112"/>
      <c r="DI16" s="111"/>
      <c r="DJ16" s="113"/>
      <c r="DK16" s="97"/>
      <c r="DL16" s="112"/>
      <c r="DM16" s="111"/>
      <c r="DN16" s="113"/>
      <c r="DO16" s="97"/>
      <c r="DP16" s="112"/>
      <c r="DQ16" s="111"/>
      <c r="DR16" s="113"/>
      <c r="DS16" s="97"/>
      <c r="DT16" s="110"/>
      <c r="DU16" s="97"/>
      <c r="DV16" s="112"/>
      <c r="DW16" s="111"/>
      <c r="DX16" s="113"/>
      <c r="DY16" s="97"/>
      <c r="DZ16" s="112"/>
      <c r="EA16" s="111"/>
      <c r="EB16" s="113"/>
      <c r="EC16" s="97"/>
      <c r="ED16" s="112"/>
      <c r="EE16" s="111"/>
      <c r="EF16" s="113"/>
      <c r="EG16" s="97"/>
      <c r="EH16" s="110"/>
      <c r="EI16" s="97"/>
      <c r="EJ16" s="112"/>
      <c r="EK16" s="111"/>
      <c r="EL16" s="113"/>
      <c r="EM16" s="97"/>
      <c r="EN16" s="112"/>
      <c r="EO16" s="111"/>
      <c r="EP16" s="113"/>
    </row>
    <row r="17" spans="2:146">
      <c r="B17" s="130"/>
      <c r="C17" s="107"/>
      <c r="D17" s="148" t="s">
        <v>73</v>
      </c>
      <c r="E17" s="150"/>
      <c r="F17" s="131">
        <v>716519</v>
      </c>
      <c r="G17" s="132"/>
      <c r="H17" s="131">
        <v>783066</v>
      </c>
      <c r="I17" s="132"/>
      <c r="J17" s="131">
        <v>802854</v>
      </c>
      <c r="K17" s="132"/>
      <c r="L17" s="133">
        <v>207114</v>
      </c>
      <c r="M17" s="134"/>
      <c r="N17" s="135">
        <f t="shared" ref="N17:N24" si="0">P17-L17</f>
        <v>213542</v>
      </c>
      <c r="O17" s="136"/>
      <c r="P17" s="139">
        <v>420656</v>
      </c>
      <c r="Q17" s="136"/>
      <c r="R17" s="135">
        <f t="shared" ref="R17:R24" si="1">T17-P17</f>
        <v>218021</v>
      </c>
      <c r="S17" s="136"/>
      <c r="T17" s="139">
        <v>638677</v>
      </c>
      <c r="U17" s="136"/>
      <c r="V17" s="135">
        <f t="shared" ref="V17:V24" si="2">X17-T17</f>
        <v>216254</v>
      </c>
      <c r="W17" s="136"/>
      <c r="X17" s="139">
        <v>854931</v>
      </c>
      <c r="Y17" s="136"/>
      <c r="Z17" s="133">
        <v>217603</v>
      </c>
      <c r="AA17" s="134"/>
      <c r="AB17" s="135">
        <f t="shared" ref="AB17:AB24" si="3">AD17-Z17</f>
        <v>227801</v>
      </c>
      <c r="AC17" s="134"/>
      <c r="AD17" s="137">
        <v>445404</v>
      </c>
      <c r="AE17" s="134"/>
      <c r="AF17" s="135">
        <f t="shared" ref="AF17:AF24" si="4">AH17-AD17</f>
        <v>241852</v>
      </c>
      <c r="AG17" s="134"/>
      <c r="AH17" s="137">
        <v>687256</v>
      </c>
      <c r="AI17" s="97"/>
      <c r="AJ17" s="135">
        <f t="shared" ref="AJ17:AJ24" si="5">AL17-AH17</f>
        <v>242123</v>
      </c>
      <c r="AK17" s="134"/>
      <c r="AL17" s="137">
        <v>929379</v>
      </c>
      <c r="AM17" s="97"/>
      <c r="AN17" s="133">
        <v>233164</v>
      </c>
      <c r="AO17" s="97"/>
      <c r="AP17" s="135">
        <f t="shared" ref="AP17:AP24" si="6">AR17-AN17</f>
        <v>243227</v>
      </c>
      <c r="AQ17" s="134"/>
      <c r="AR17" s="137">
        <v>476391</v>
      </c>
      <c r="AS17" s="134"/>
      <c r="AT17" s="135">
        <f t="shared" ref="AT17:AT24" si="7">AV17-AR17</f>
        <v>249245</v>
      </c>
      <c r="AU17" s="134"/>
      <c r="AV17" s="137">
        <v>725636</v>
      </c>
      <c r="AW17" s="97"/>
      <c r="AX17" s="135">
        <f t="shared" ref="AX17:AX24" si="8">AZ17-AV17</f>
        <v>221169</v>
      </c>
      <c r="AY17" s="134"/>
      <c r="AZ17" s="137">
        <v>946805</v>
      </c>
      <c r="BA17" s="97"/>
      <c r="BB17" s="138">
        <v>216299</v>
      </c>
      <c r="BC17" s="114"/>
      <c r="BD17" s="135">
        <f t="shared" ref="BD17:BD24" si="9">BF17-BB17</f>
        <v>192267</v>
      </c>
      <c r="BE17" s="136"/>
      <c r="BF17" s="139">
        <v>408566</v>
      </c>
      <c r="BG17" s="136"/>
      <c r="BH17" s="135">
        <f t="shared" ref="BH17:BH24" si="10">BJ17-BF17</f>
        <v>177431</v>
      </c>
      <c r="BI17" s="136"/>
      <c r="BJ17" s="139">
        <v>585997</v>
      </c>
      <c r="BK17" s="97"/>
      <c r="BL17" s="135">
        <f t="shared" ref="BL17:BL24" si="11">BN17-BJ17</f>
        <v>177438</v>
      </c>
      <c r="BM17" s="136"/>
      <c r="BN17" s="139">
        <v>763435</v>
      </c>
      <c r="BO17" s="97"/>
      <c r="BP17" s="138">
        <v>180607</v>
      </c>
      <c r="BQ17" s="97"/>
      <c r="BR17" s="135">
        <f t="shared" ref="BR17:BR24" si="12">BT17-BP17</f>
        <v>187131</v>
      </c>
      <c r="BS17" s="136"/>
      <c r="BT17" s="139">
        <v>367738</v>
      </c>
      <c r="BU17" s="97"/>
      <c r="BV17" s="135">
        <f t="shared" ref="BV17:BV24" si="13">BX17-BT17</f>
        <v>199750</v>
      </c>
      <c r="BW17" s="136"/>
      <c r="BX17" s="139">
        <v>567488</v>
      </c>
      <c r="BY17" s="97"/>
      <c r="BZ17" s="135">
        <f t="shared" ref="BZ17:BZ24" si="14">CB17-BX17</f>
        <v>202423</v>
      </c>
      <c r="CA17" s="136"/>
      <c r="CB17" s="139">
        <v>769911</v>
      </c>
      <c r="CC17" s="97"/>
      <c r="CD17" s="138">
        <v>190677</v>
      </c>
      <c r="CE17" s="97"/>
      <c r="CF17" s="135">
        <f t="shared" ref="CF17:CF24" si="15">CH17-CD17</f>
        <v>196276</v>
      </c>
      <c r="CG17" s="136"/>
      <c r="CH17" s="139">
        <v>386953</v>
      </c>
      <c r="CI17" s="97"/>
      <c r="CJ17" s="135">
        <f t="shared" ref="CJ17:CJ24" si="16">CL17-CH17</f>
        <v>198982</v>
      </c>
      <c r="CK17" s="136"/>
      <c r="CL17" s="139">
        <v>585935</v>
      </c>
      <c r="CM17" s="97"/>
      <c r="CN17" s="135">
        <f t="shared" ref="CN17:CN24" si="17">CP17-CL17</f>
        <v>189107</v>
      </c>
      <c r="CO17" s="136"/>
      <c r="CP17" s="139">
        <v>775042</v>
      </c>
      <c r="CQ17" s="97"/>
      <c r="CR17" s="138">
        <v>183352</v>
      </c>
      <c r="CS17" s="97"/>
      <c r="CT17" s="135">
        <v>192547</v>
      </c>
      <c r="CU17" s="136"/>
      <c r="CV17" s="139">
        <v>375899</v>
      </c>
      <c r="CW17" s="97"/>
      <c r="CX17" s="135">
        <v>196007</v>
      </c>
      <c r="CY17" s="136"/>
      <c r="CZ17" s="139">
        <v>571907</v>
      </c>
      <c r="DA17" s="97"/>
      <c r="DB17" s="135">
        <v>188390</v>
      </c>
      <c r="DC17" s="136"/>
      <c r="DD17" s="139">
        <v>760297</v>
      </c>
      <c r="DE17" s="97"/>
      <c r="DF17" s="138">
        <v>175307</v>
      </c>
      <c r="DG17" s="97"/>
      <c r="DH17" s="135">
        <v>188554</v>
      </c>
      <c r="DI17" s="136"/>
      <c r="DJ17" s="139">
        <v>363863</v>
      </c>
      <c r="DK17" s="97"/>
      <c r="DL17" s="135">
        <v>184870</v>
      </c>
      <c r="DM17" s="136"/>
      <c r="DN17" s="139">
        <v>548732</v>
      </c>
      <c r="DO17" s="97"/>
      <c r="DP17" s="135">
        <v>183014</v>
      </c>
      <c r="DQ17" s="136"/>
      <c r="DR17" s="139">
        <v>731747</v>
      </c>
      <c r="DS17" s="97"/>
      <c r="DT17" s="138">
        <v>178570</v>
      </c>
      <c r="DU17" s="97"/>
      <c r="DV17" s="135">
        <v>186719</v>
      </c>
      <c r="DW17" s="136"/>
      <c r="DX17" s="139">
        <v>365289</v>
      </c>
      <c r="DY17" s="97"/>
      <c r="DZ17" s="135">
        <v>200457</v>
      </c>
      <c r="EA17" s="136"/>
      <c r="EB17" s="139">
        <v>565746</v>
      </c>
      <c r="EC17" s="97"/>
      <c r="ED17" s="135">
        <v>192547</v>
      </c>
      <c r="EE17" s="136"/>
      <c r="EF17" s="139">
        <v>758293</v>
      </c>
      <c r="EG17" s="97"/>
      <c r="EH17" s="138">
        <v>176178</v>
      </c>
      <c r="EI17" s="97"/>
      <c r="EJ17" s="135">
        <v>192794</v>
      </c>
      <c r="EK17" s="136"/>
      <c r="EL17" s="139">
        <v>368972</v>
      </c>
      <c r="EM17" s="97"/>
      <c r="EN17" s="135">
        <v>199215</v>
      </c>
      <c r="EO17" s="136"/>
      <c r="EP17" s="139">
        <v>568186</v>
      </c>
    </row>
    <row r="18" spans="2:146">
      <c r="B18" s="130"/>
      <c r="C18" s="148" t="s">
        <v>74</v>
      </c>
      <c r="D18" s="148"/>
      <c r="E18" s="107"/>
      <c r="F18" s="131">
        <v>637297</v>
      </c>
      <c r="G18" s="132"/>
      <c r="H18" s="131">
        <v>743406</v>
      </c>
      <c r="I18" s="132"/>
      <c r="J18" s="131">
        <v>742993</v>
      </c>
      <c r="K18" s="132"/>
      <c r="L18" s="133">
        <v>161105</v>
      </c>
      <c r="M18" s="134"/>
      <c r="N18" s="135">
        <f t="shared" si="0"/>
        <v>161965</v>
      </c>
      <c r="O18" s="136"/>
      <c r="P18" s="139">
        <v>323070</v>
      </c>
      <c r="Q18" s="136"/>
      <c r="R18" s="135">
        <f t="shared" si="1"/>
        <v>189291</v>
      </c>
      <c r="S18" s="136"/>
      <c r="T18" s="139">
        <v>512361</v>
      </c>
      <c r="U18" s="136"/>
      <c r="V18" s="135">
        <f t="shared" si="2"/>
        <v>243929</v>
      </c>
      <c r="W18" s="136"/>
      <c r="X18" s="139">
        <v>756290</v>
      </c>
      <c r="Y18" s="136"/>
      <c r="Z18" s="133">
        <v>196655</v>
      </c>
      <c r="AA18" s="134"/>
      <c r="AB18" s="135">
        <f t="shared" si="3"/>
        <v>170833</v>
      </c>
      <c r="AC18" s="134"/>
      <c r="AD18" s="137">
        <v>367488</v>
      </c>
      <c r="AE18" s="134"/>
      <c r="AF18" s="135">
        <f t="shared" si="4"/>
        <v>196229</v>
      </c>
      <c r="AG18" s="134"/>
      <c r="AH18" s="137">
        <v>563717</v>
      </c>
      <c r="AI18" s="97"/>
      <c r="AJ18" s="135">
        <f t="shared" si="5"/>
        <v>228085</v>
      </c>
      <c r="AK18" s="134"/>
      <c r="AL18" s="137">
        <v>791802</v>
      </c>
      <c r="AM18" s="97"/>
      <c r="AN18" s="133">
        <v>187036</v>
      </c>
      <c r="AO18" s="97"/>
      <c r="AP18" s="135">
        <f t="shared" si="6"/>
        <v>191700</v>
      </c>
      <c r="AQ18" s="134"/>
      <c r="AR18" s="137">
        <v>378736</v>
      </c>
      <c r="AS18" s="134"/>
      <c r="AT18" s="135">
        <f t="shared" si="7"/>
        <v>248029</v>
      </c>
      <c r="AU18" s="134"/>
      <c r="AV18" s="137">
        <v>626765</v>
      </c>
      <c r="AW18" s="97"/>
      <c r="AX18" s="135">
        <f t="shared" si="8"/>
        <v>309182</v>
      </c>
      <c r="AY18" s="134"/>
      <c r="AZ18" s="137">
        <v>935947</v>
      </c>
      <c r="BA18" s="97"/>
      <c r="BB18" s="138">
        <v>241691</v>
      </c>
      <c r="BC18" s="114"/>
      <c r="BD18" s="135">
        <f t="shared" si="9"/>
        <v>217070</v>
      </c>
      <c r="BE18" s="136"/>
      <c r="BF18" s="139">
        <v>458761</v>
      </c>
      <c r="BG18" s="136"/>
      <c r="BH18" s="135">
        <f t="shared" si="10"/>
        <v>193392</v>
      </c>
      <c r="BI18" s="136"/>
      <c r="BJ18" s="139">
        <v>652153</v>
      </c>
      <c r="BK18" s="97"/>
      <c r="BL18" s="135">
        <f t="shared" si="11"/>
        <v>346847</v>
      </c>
      <c r="BM18" s="136"/>
      <c r="BN18" s="139">
        <v>999000</v>
      </c>
      <c r="BO18" s="97"/>
      <c r="BP18" s="138">
        <v>270474</v>
      </c>
      <c r="BQ18" s="97"/>
      <c r="BR18" s="135">
        <f t="shared" si="12"/>
        <v>271978</v>
      </c>
      <c r="BS18" s="136"/>
      <c r="BT18" s="139">
        <v>542452</v>
      </c>
      <c r="BU18" s="97"/>
      <c r="BV18" s="135">
        <f t="shared" si="13"/>
        <v>307862</v>
      </c>
      <c r="BW18" s="136"/>
      <c r="BX18" s="139">
        <v>850314</v>
      </c>
      <c r="BY18" s="97"/>
      <c r="BZ18" s="135">
        <f t="shared" si="14"/>
        <v>342355</v>
      </c>
      <c r="CA18" s="136"/>
      <c r="CB18" s="139">
        <v>1192669</v>
      </c>
      <c r="CC18" s="97"/>
      <c r="CD18" s="138">
        <v>238301</v>
      </c>
      <c r="CE18" s="97"/>
      <c r="CF18" s="135">
        <f t="shared" si="15"/>
        <v>253671</v>
      </c>
      <c r="CG18" s="136"/>
      <c r="CH18" s="139">
        <v>491972</v>
      </c>
      <c r="CI18" s="97"/>
      <c r="CJ18" s="135">
        <f t="shared" si="16"/>
        <v>287256</v>
      </c>
      <c r="CK18" s="136"/>
      <c r="CL18" s="139">
        <v>779228</v>
      </c>
      <c r="CM18" s="97"/>
      <c r="CN18" s="135">
        <f t="shared" si="17"/>
        <v>273582</v>
      </c>
      <c r="CO18" s="136"/>
      <c r="CP18" s="139">
        <v>1052810</v>
      </c>
      <c r="CQ18" s="97"/>
      <c r="CR18" s="138">
        <v>256222</v>
      </c>
      <c r="CS18" s="97"/>
      <c r="CT18" s="135">
        <v>262026</v>
      </c>
      <c r="CU18" s="136"/>
      <c r="CV18" s="139">
        <v>518247</v>
      </c>
      <c r="CW18" s="97"/>
      <c r="CX18" s="135">
        <v>280283</v>
      </c>
      <c r="CY18" s="136"/>
      <c r="CZ18" s="139">
        <v>798531</v>
      </c>
      <c r="DA18" s="97"/>
      <c r="DB18" s="135">
        <v>282463</v>
      </c>
      <c r="DC18" s="136"/>
      <c r="DD18" s="139">
        <v>1080994</v>
      </c>
      <c r="DE18" s="97"/>
      <c r="DF18" s="138">
        <v>227735</v>
      </c>
      <c r="DG18" s="97"/>
      <c r="DH18" s="135">
        <v>260383</v>
      </c>
      <c r="DI18" s="136"/>
      <c r="DJ18" s="139">
        <v>488117</v>
      </c>
      <c r="DK18" s="97"/>
      <c r="DL18" s="135">
        <v>261057</v>
      </c>
      <c r="DM18" s="136"/>
      <c r="DN18" s="139">
        <v>749174</v>
      </c>
      <c r="DO18" s="97"/>
      <c r="DP18" s="135">
        <v>321601</v>
      </c>
      <c r="DQ18" s="136"/>
      <c r="DR18" s="139">
        <v>1070776</v>
      </c>
      <c r="DS18" s="97"/>
      <c r="DT18" s="138">
        <v>219116</v>
      </c>
      <c r="DU18" s="97"/>
      <c r="DV18" s="135">
        <v>239567</v>
      </c>
      <c r="DW18" s="136"/>
      <c r="DX18" s="139">
        <v>458683</v>
      </c>
      <c r="DY18" s="97"/>
      <c r="DZ18" s="135">
        <v>257566</v>
      </c>
      <c r="EA18" s="136"/>
      <c r="EB18" s="139">
        <v>716249</v>
      </c>
      <c r="EC18" s="97"/>
      <c r="ED18" s="135">
        <v>314989</v>
      </c>
      <c r="EE18" s="136"/>
      <c r="EF18" s="139">
        <v>1031237</v>
      </c>
      <c r="EG18" s="97"/>
      <c r="EH18" s="138">
        <v>233495</v>
      </c>
      <c r="EI18" s="97"/>
      <c r="EJ18" s="135">
        <v>224139</v>
      </c>
      <c r="EK18" s="136"/>
      <c r="EL18" s="139">
        <v>457633</v>
      </c>
      <c r="EM18" s="97"/>
      <c r="EN18" s="135">
        <v>266125</v>
      </c>
      <c r="EO18" s="136"/>
      <c r="EP18" s="139">
        <v>723758</v>
      </c>
    </row>
    <row r="19" spans="2:146">
      <c r="B19" s="130"/>
      <c r="C19" s="148" t="s">
        <v>75</v>
      </c>
      <c r="D19" s="148"/>
      <c r="E19" s="107"/>
      <c r="F19" s="131">
        <v>1561229</v>
      </c>
      <c r="G19" s="132"/>
      <c r="H19" s="131">
        <v>1706585</v>
      </c>
      <c r="I19" s="132"/>
      <c r="J19" s="131">
        <v>1747404</v>
      </c>
      <c r="K19" s="132"/>
      <c r="L19" s="133">
        <v>429605</v>
      </c>
      <c r="M19" s="134"/>
      <c r="N19" s="135">
        <f t="shared" si="0"/>
        <v>445177</v>
      </c>
      <c r="O19" s="136"/>
      <c r="P19" s="113">
        <v>874782</v>
      </c>
      <c r="Q19" s="111"/>
      <c r="R19" s="135">
        <f t="shared" si="1"/>
        <v>446938</v>
      </c>
      <c r="S19" s="136"/>
      <c r="T19" s="113">
        <v>1321720</v>
      </c>
      <c r="U19" s="111"/>
      <c r="V19" s="135">
        <f t="shared" si="2"/>
        <v>461595</v>
      </c>
      <c r="W19" s="136"/>
      <c r="X19" s="113">
        <v>1783315</v>
      </c>
      <c r="Y19" s="111"/>
      <c r="Z19" s="133">
        <v>439709</v>
      </c>
      <c r="AA19" s="134"/>
      <c r="AB19" s="135">
        <f t="shared" si="3"/>
        <v>423953</v>
      </c>
      <c r="AC19" s="134"/>
      <c r="AD19" s="137">
        <v>863662</v>
      </c>
      <c r="AE19" s="134"/>
      <c r="AF19" s="135">
        <f t="shared" si="4"/>
        <v>438774</v>
      </c>
      <c r="AG19" s="134"/>
      <c r="AH19" s="137">
        <v>1302436</v>
      </c>
      <c r="AI19" s="97"/>
      <c r="AJ19" s="135">
        <f t="shared" si="5"/>
        <v>467265</v>
      </c>
      <c r="AK19" s="134"/>
      <c r="AL19" s="137">
        <v>1769701</v>
      </c>
      <c r="AM19" s="97"/>
      <c r="AN19" s="133">
        <v>442244</v>
      </c>
      <c r="AO19" s="97"/>
      <c r="AP19" s="135">
        <f t="shared" si="6"/>
        <v>435053</v>
      </c>
      <c r="AQ19" s="134"/>
      <c r="AR19" s="137">
        <v>877297</v>
      </c>
      <c r="AS19" s="134"/>
      <c r="AT19" s="135">
        <f t="shared" si="7"/>
        <v>438526</v>
      </c>
      <c r="AU19" s="134"/>
      <c r="AV19" s="137">
        <v>1315823</v>
      </c>
      <c r="AW19" s="97"/>
      <c r="AX19" s="135">
        <f t="shared" si="8"/>
        <v>449110</v>
      </c>
      <c r="AY19" s="134"/>
      <c r="AZ19" s="137">
        <v>1764933</v>
      </c>
      <c r="BA19" s="97"/>
      <c r="BB19" s="138">
        <v>420080</v>
      </c>
      <c r="BC19" s="114"/>
      <c r="BD19" s="135">
        <f t="shared" si="9"/>
        <v>404127</v>
      </c>
      <c r="BE19" s="136"/>
      <c r="BF19" s="139">
        <v>824207</v>
      </c>
      <c r="BG19" s="136"/>
      <c r="BH19" s="135">
        <f t="shared" si="10"/>
        <v>410468</v>
      </c>
      <c r="BI19" s="136"/>
      <c r="BJ19" s="139">
        <v>1234675</v>
      </c>
      <c r="BK19" s="97"/>
      <c r="BL19" s="135">
        <f t="shared" si="11"/>
        <v>442720</v>
      </c>
      <c r="BM19" s="136"/>
      <c r="BN19" s="139">
        <v>1677395</v>
      </c>
      <c r="BO19" s="97"/>
      <c r="BP19" s="138">
        <v>395564</v>
      </c>
      <c r="BQ19" s="97"/>
      <c r="BR19" s="135">
        <f t="shared" si="12"/>
        <v>404252</v>
      </c>
      <c r="BS19" s="136"/>
      <c r="BT19" s="139">
        <v>799816</v>
      </c>
      <c r="BU19" s="97"/>
      <c r="BV19" s="135">
        <f t="shared" si="13"/>
        <v>397545</v>
      </c>
      <c r="BW19" s="136"/>
      <c r="BX19" s="139">
        <v>1197361</v>
      </c>
      <c r="BY19" s="97"/>
      <c r="BZ19" s="135">
        <f t="shared" si="14"/>
        <v>394553</v>
      </c>
      <c r="CA19" s="136"/>
      <c r="CB19" s="139">
        <v>1591914</v>
      </c>
      <c r="CC19" s="97"/>
      <c r="CD19" s="138">
        <v>368968</v>
      </c>
      <c r="CE19" s="97"/>
      <c r="CF19" s="135">
        <f t="shared" si="15"/>
        <v>362971</v>
      </c>
      <c r="CG19" s="136"/>
      <c r="CH19" s="139">
        <v>731939</v>
      </c>
      <c r="CI19" s="97"/>
      <c r="CJ19" s="135">
        <f t="shared" si="16"/>
        <v>374585</v>
      </c>
      <c r="CK19" s="136"/>
      <c r="CL19" s="139">
        <v>1106524</v>
      </c>
      <c r="CM19" s="97"/>
      <c r="CN19" s="135">
        <f t="shared" si="17"/>
        <v>387206</v>
      </c>
      <c r="CO19" s="136"/>
      <c r="CP19" s="139">
        <v>1493730</v>
      </c>
      <c r="CQ19" s="97"/>
      <c r="CR19" s="138">
        <v>361873</v>
      </c>
      <c r="CS19" s="97"/>
      <c r="CT19" s="135">
        <v>357733</v>
      </c>
      <c r="CU19" s="136"/>
      <c r="CV19" s="139">
        <v>719607</v>
      </c>
      <c r="CW19" s="97"/>
      <c r="CX19" s="135">
        <v>369634</v>
      </c>
      <c r="CY19" s="136"/>
      <c r="CZ19" s="139">
        <v>1089239</v>
      </c>
      <c r="DA19" s="97"/>
      <c r="DB19" s="135">
        <v>389894</v>
      </c>
      <c r="DC19" s="136"/>
      <c r="DD19" s="139">
        <v>1479133</v>
      </c>
      <c r="DE19" s="97"/>
      <c r="DF19" s="138">
        <v>339943</v>
      </c>
      <c r="DG19" s="97"/>
      <c r="DH19" s="135">
        <v>350628</v>
      </c>
      <c r="DI19" s="136"/>
      <c r="DJ19" s="139">
        <v>690570</v>
      </c>
      <c r="DK19" s="97"/>
      <c r="DL19" s="135">
        <v>350030</v>
      </c>
      <c r="DM19" s="136"/>
      <c r="DN19" s="139">
        <v>1040601</v>
      </c>
      <c r="DO19" s="97"/>
      <c r="DP19" s="135">
        <v>372033</v>
      </c>
      <c r="DQ19" s="136"/>
      <c r="DR19" s="139">
        <v>1412631</v>
      </c>
      <c r="DS19" s="97"/>
      <c r="DT19" s="138">
        <v>325885</v>
      </c>
      <c r="DU19" s="97"/>
      <c r="DV19" s="135">
        <v>342301</v>
      </c>
      <c r="DW19" s="136"/>
      <c r="DX19" s="139">
        <v>668185</v>
      </c>
      <c r="DY19" s="97"/>
      <c r="DZ19" s="135">
        <v>346513</v>
      </c>
      <c r="EA19" s="136"/>
      <c r="EB19" s="139">
        <v>1014698</v>
      </c>
      <c r="EC19" s="97"/>
      <c r="ED19" s="135">
        <v>373171</v>
      </c>
      <c r="EE19" s="136"/>
      <c r="EF19" s="139">
        <v>1387870</v>
      </c>
      <c r="EG19" s="97"/>
      <c r="EH19" s="138">
        <v>325325</v>
      </c>
      <c r="EI19" s="97"/>
      <c r="EJ19" s="135">
        <v>344222</v>
      </c>
      <c r="EK19" s="136"/>
      <c r="EL19" s="139">
        <v>669548</v>
      </c>
      <c r="EM19" s="97"/>
      <c r="EN19" s="135">
        <v>357752</v>
      </c>
      <c r="EO19" s="136"/>
      <c r="EP19" s="139">
        <v>1027301</v>
      </c>
    </row>
    <row r="20" spans="2:146">
      <c r="B20" s="130"/>
      <c r="C20" s="148" t="s">
        <v>31</v>
      </c>
      <c r="D20" s="148"/>
      <c r="E20" s="107"/>
      <c r="F20" s="131">
        <v>581116</v>
      </c>
      <c r="G20" s="132"/>
      <c r="H20" s="131">
        <v>572649</v>
      </c>
      <c r="I20" s="132"/>
      <c r="J20" s="131">
        <v>564935</v>
      </c>
      <c r="K20" s="132"/>
      <c r="L20" s="133">
        <v>141709</v>
      </c>
      <c r="M20" s="134"/>
      <c r="N20" s="135">
        <f t="shared" si="0"/>
        <v>142931</v>
      </c>
      <c r="O20" s="136"/>
      <c r="P20" s="113">
        <v>284640</v>
      </c>
      <c r="Q20" s="111"/>
      <c r="R20" s="135">
        <f t="shared" si="1"/>
        <v>143191</v>
      </c>
      <c r="S20" s="136"/>
      <c r="T20" s="113">
        <v>427831</v>
      </c>
      <c r="U20" s="111"/>
      <c r="V20" s="135">
        <f t="shared" si="2"/>
        <v>143124</v>
      </c>
      <c r="W20" s="136"/>
      <c r="X20" s="113">
        <v>570955</v>
      </c>
      <c r="Y20" s="111"/>
      <c r="Z20" s="133">
        <v>143340</v>
      </c>
      <c r="AA20" s="134"/>
      <c r="AB20" s="135">
        <f t="shared" si="3"/>
        <v>146577</v>
      </c>
      <c r="AC20" s="134"/>
      <c r="AD20" s="137">
        <v>289917</v>
      </c>
      <c r="AE20" s="134"/>
      <c r="AF20" s="135">
        <f t="shared" si="4"/>
        <v>141664</v>
      </c>
      <c r="AG20" s="134"/>
      <c r="AH20" s="137">
        <v>431581</v>
      </c>
      <c r="AI20" s="97"/>
      <c r="AJ20" s="135">
        <f t="shared" si="5"/>
        <v>141976</v>
      </c>
      <c r="AK20" s="134"/>
      <c r="AL20" s="137">
        <v>573557</v>
      </c>
      <c r="AM20" s="97"/>
      <c r="AN20" s="133">
        <v>146685</v>
      </c>
      <c r="AO20" s="97"/>
      <c r="AP20" s="135">
        <f t="shared" si="6"/>
        <v>147555</v>
      </c>
      <c r="AQ20" s="134"/>
      <c r="AR20" s="137">
        <v>294240</v>
      </c>
      <c r="AS20" s="134"/>
      <c r="AT20" s="135">
        <f t="shared" si="7"/>
        <v>145151</v>
      </c>
      <c r="AU20" s="134"/>
      <c r="AV20" s="137">
        <v>439391</v>
      </c>
      <c r="AW20" s="97"/>
      <c r="AX20" s="135">
        <f t="shared" si="8"/>
        <v>169242</v>
      </c>
      <c r="AY20" s="134"/>
      <c r="AZ20" s="137">
        <v>608633</v>
      </c>
      <c r="BA20" s="97"/>
      <c r="BB20" s="138">
        <v>189845</v>
      </c>
      <c r="BC20" s="114"/>
      <c r="BD20" s="135">
        <f t="shared" si="9"/>
        <v>202580</v>
      </c>
      <c r="BE20" s="136"/>
      <c r="BF20" s="139">
        <v>392425</v>
      </c>
      <c r="BG20" s="136"/>
      <c r="BH20" s="135">
        <f t="shared" si="10"/>
        <v>200985</v>
      </c>
      <c r="BI20" s="136"/>
      <c r="BJ20" s="139">
        <v>593410</v>
      </c>
      <c r="BK20" s="97"/>
      <c r="BL20" s="135">
        <f t="shared" si="11"/>
        <v>210371</v>
      </c>
      <c r="BM20" s="136"/>
      <c r="BN20" s="139">
        <v>803781</v>
      </c>
      <c r="BO20" s="97"/>
      <c r="BP20" s="138">
        <v>167753</v>
      </c>
      <c r="BQ20" s="97"/>
      <c r="BR20" s="135">
        <f t="shared" si="12"/>
        <v>148337</v>
      </c>
      <c r="BS20" s="136"/>
      <c r="BT20" s="139">
        <v>316090</v>
      </c>
      <c r="BU20" s="97"/>
      <c r="BV20" s="135">
        <f t="shared" si="13"/>
        <v>148952</v>
      </c>
      <c r="BW20" s="136"/>
      <c r="BX20" s="139">
        <v>465042</v>
      </c>
      <c r="BY20" s="97"/>
      <c r="BZ20" s="135">
        <f t="shared" si="14"/>
        <v>140955</v>
      </c>
      <c r="CA20" s="136"/>
      <c r="CB20" s="139">
        <v>605997</v>
      </c>
      <c r="CC20" s="97"/>
      <c r="CD20" s="138">
        <v>147085</v>
      </c>
      <c r="CE20" s="97"/>
      <c r="CF20" s="135">
        <f t="shared" si="15"/>
        <v>150581</v>
      </c>
      <c r="CG20" s="136"/>
      <c r="CH20" s="139">
        <v>297666</v>
      </c>
      <c r="CI20" s="97"/>
      <c r="CJ20" s="135">
        <f t="shared" si="16"/>
        <v>152369</v>
      </c>
      <c r="CK20" s="136"/>
      <c r="CL20" s="139">
        <v>450035</v>
      </c>
      <c r="CM20" s="97"/>
      <c r="CN20" s="135">
        <f t="shared" si="17"/>
        <v>156420</v>
      </c>
      <c r="CO20" s="136"/>
      <c r="CP20" s="139">
        <v>606455</v>
      </c>
      <c r="CQ20" s="97"/>
      <c r="CR20" s="138">
        <v>152510</v>
      </c>
      <c r="CS20" s="97"/>
      <c r="CT20" s="135">
        <v>154150</v>
      </c>
      <c r="CU20" s="136"/>
      <c r="CV20" s="139">
        <v>306660</v>
      </c>
      <c r="CW20" s="97"/>
      <c r="CX20" s="135">
        <v>155504</v>
      </c>
      <c r="CY20" s="136"/>
      <c r="CZ20" s="139">
        <v>462165</v>
      </c>
      <c r="DA20" s="97"/>
      <c r="DB20" s="135">
        <v>155925</v>
      </c>
      <c r="DC20" s="136"/>
      <c r="DD20" s="139">
        <v>618091</v>
      </c>
      <c r="DE20" s="97"/>
      <c r="DF20" s="138">
        <v>153387</v>
      </c>
      <c r="DG20" s="97"/>
      <c r="DH20" s="135">
        <v>154398</v>
      </c>
      <c r="DI20" s="136"/>
      <c r="DJ20" s="139">
        <v>307784</v>
      </c>
      <c r="DK20" s="97"/>
      <c r="DL20" s="135">
        <v>152774</v>
      </c>
      <c r="DM20" s="136"/>
      <c r="DN20" s="139">
        <v>460558</v>
      </c>
      <c r="DO20" s="97"/>
      <c r="DP20" s="135">
        <v>155090</v>
      </c>
      <c r="DQ20" s="136"/>
      <c r="DR20" s="139">
        <v>615649</v>
      </c>
      <c r="DS20" s="97"/>
      <c r="DT20" s="138">
        <v>158680</v>
      </c>
      <c r="DU20" s="97"/>
      <c r="DV20" s="135">
        <v>159110</v>
      </c>
      <c r="DW20" s="136"/>
      <c r="DX20" s="139">
        <v>317791</v>
      </c>
      <c r="DY20" s="97"/>
      <c r="DZ20" s="135">
        <v>159562</v>
      </c>
      <c r="EA20" s="136"/>
      <c r="EB20" s="139">
        <v>477352</v>
      </c>
      <c r="EC20" s="97"/>
      <c r="ED20" s="135">
        <v>162155</v>
      </c>
      <c r="EE20" s="136"/>
      <c r="EF20" s="139">
        <v>639509</v>
      </c>
      <c r="EG20" s="97"/>
      <c r="EH20" s="138">
        <v>167950</v>
      </c>
      <c r="EI20" s="97"/>
      <c r="EJ20" s="135">
        <v>176557</v>
      </c>
      <c r="EK20" s="136"/>
      <c r="EL20" s="139">
        <v>344507</v>
      </c>
      <c r="EM20" s="97"/>
      <c r="EN20" s="135">
        <v>180141</v>
      </c>
      <c r="EO20" s="136"/>
      <c r="EP20" s="139">
        <v>524648</v>
      </c>
    </row>
    <row r="21" spans="2:146">
      <c r="B21" s="130"/>
      <c r="C21" s="148" t="s">
        <v>32</v>
      </c>
      <c r="D21" s="148"/>
      <c r="E21" s="107"/>
      <c r="F21" s="131">
        <v>24923</v>
      </c>
      <c r="G21" s="132"/>
      <c r="H21" s="131">
        <v>386653</v>
      </c>
      <c r="I21" s="132"/>
      <c r="J21" s="131">
        <v>14000</v>
      </c>
      <c r="K21" s="132"/>
      <c r="L21" s="133">
        <v>0</v>
      </c>
      <c r="M21" s="134"/>
      <c r="N21" s="135">
        <f t="shared" si="0"/>
        <v>0</v>
      </c>
      <c r="O21" s="136"/>
      <c r="P21" s="113">
        <v>0</v>
      </c>
      <c r="Q21" s="111"/>
      <c r="R21" s="135">
        <f t="shared" si="1"/>
        <v>0</v>
      </c>
      <c r="S21" s="136"/>
      <c r="T21" s="113">
        <v>0</v>
      </c>
      <c r="U21" s="111"/>
      <c r="V21" s="135">
        <f t="shared" si="2"/>
        <v>0</v>
      </c>
      <c r="W21" s="136"/>
      <c r="X21" s="113">
        <v>0</v>
      </c>
      <c r="Y21" s="111"/>
      <c r="Z21" s="133">
        <v>0</v>
      </c>
      <c r="AA21" s="134"/>
      <c r="AB21" s="135">
        <f t="shared" si="3"/>
        <v>0</v>
      </c>
      <c r="AC21" s="134"/>
      <c r="AD21" s="137">
        <v>0</v>
      </c>
      <c r="AE21" s="134"/>
      <c r="AF21" s="135">
        <f t="shared" si="4"/>
        <v>0</v>
      </c>
      <c r="AG21" s="134"/>
      <c r="AH21" s="137">
        <v>0</v>
      </c>
      <c r="AI21" s="97"/>
      <c r="AJ21" s="135">
        <f t="shared" si="5"/>
        <v>0</v>
      </c>
      <c r="AK21" s="134"/>
      <c r="AL21" s="137">
        <v>0</v>
      </c>
      <c r="AM21" s="97"/>
      <c r="AN21" s="133">
        <v>0</v>
      </c>
      <c r="AO21" s="97"/>
      <c r="AP21" s="135">
        <f t="shared" si="6"/>
        <v>0</v>
      </c>
      <c r="AQ21" s="134"/>
      <c r="AR21" s="137">
        <v>0</v>
      </c>
      <c r="AS21" s="134"/>
      <c r="AT21" s="135">
        <f t="shared" si="7"/>
        <v>0</v>
      </c>
      <c r="AU21" s="134"/>
      <c r="AV21" s="137">
        <v>0</v>
      </c>
      <c r="AW21" s="97"/>
      <c r="AX21" s="135">
        <f t="shared" si="8"/>
        <v>0</v>
      </c>
      <c r="AY21" s="134"/>
      <c r="AZ21" s="137">
        <v>0</v>
      </c>
      <c r="BA21" s="97"/>
      <c r="BB21" s="138">
        <v>0</v>
      </c>
      <c r="BC21" s="114"/>
      <c r="BD21" s="135">
        <f t="shared" si="9"/>
        <v>0</v>
      </c>
      <c r="BE21" s="136"/>
      <c r="BF21" s="139">
        <v>0</v>
      </c>
      <c r="BG21" s="136"/>
      <c r="BH21" s="135">
        <f t="shared" si="10"/>
        <v>0</v>
      </c>
      <c r="BI21" s="136"/>
      <c r="BJ21" s="139">
        <v>0</v>
      </c>
      <c r="BK21" s="97"/>
      <c r="BL21" s="135">
        <f t="shared" si="11"/>
        <v>0</v>
      </c>
      <c r="BM21" s="136"/>
      <c r="BN21" s="139">
        <v>0</v>
      </c>
      <c r="BO21" s="97"/>
      <c r="BP21" s="138">
        <v>0</v>
      </c>
      <c r="BQ21" s="97"/>
      <c r="BR21" s="135">
        <f t="shared" si="12"/>
        <v>0</v>
      </c>
      <c r="BS21" s="136"/>
      <c r="BT21" s="139">
        <v>0</v>
      </c>
      <c r="BU21" s="97"/>
      <c r="BV21" s="135">
        <f t="shared" si="13"/>
        <v>0</v>
      </c>
      <c r="BW21" s="136"/>
      <c r="BX21" s="139">
        <v>0</v>
      </c>
      <c r="BY21" s="97"/>
      <c r="BZ21" s="135">
        <f t="shared" si="14"/>
        <v>0</v>
      </c>
      <c r="CA21" s="136"/>
      <c r="CB21" s="139">
        <v>0</v>
      </c>
      <c r="CC21" s="97"/>
      <c r="CD21" s="138">
        <v>0</v>
      </c>
      <c r="CE21" s="97"/>
      <c r="CF21" s="135">
        <f t="shared" si="15"/>
        <v>0</v>
      </c>
      <c r="CG21" s="136"/>
      <c r="CH21" s="139">
        <v>0</v>
      </c>
      <c r="CI21" s="97"/>
      <c r="CJ21" s="135">
        <f t="shared" si="16"/>
        <v>0</v>
      </c>
      <c r="CK21" s="136"/>
      <c r="CL21" s="139">
        <v>0</v>
      </c>
      <c r="CM21" s="97"/>
      <c r="CN21" s="135">
        <f t="shared" si="17"/>
        <v>0</v>
      </c>
      <c r="CO21" s="136"/>
      <c r="CP21" s="139">
        <v>0</v>
      </c>
      <c r="CQ21" s="97"/>
      <c r="CR21" s="138">
        <v>0</v>
      </c>
      <c r="CS21" s="97"/>
      <c r="CT21" s="135">
        <v>0</v>
      </c>
      <c r="CU21" s="136"/>
      <c r="CV21" s="139">
        <v>0</v>
      </c>
      <c r="CW21" s="97"/>
      <c r="CX21" s="135">
        <v>0</v>
      </c>
      <c r="CY21" s="136"/>
      <c r="CZ21" s="139">
        <v>0</v>
      </c>
      <c r="DA21" s="97"/>
      <c r="DB21" s="135">
        <v>0</v>
      </c>
      <c r="DC21" s="136"/>
      <c r="DD21" s="139">
        <v>0</v>
      </c>
      <c r="DE21" s="97"/>
      <c r="DF21" s="138">
        <v>0</v>
      </c>
      <c r="DG21" s="97"/>
      <c r="DH21" s="135">
        <v>0</v>
      </c>
      <c r="DI21" s="136"/>
      <c r="DJ21" s="139">
        <v>0</v>
      </c>
      <c r="DK21" s="97"/>
      <c r="DL21" s="135">
        <v>369596</v>
      </c>
      <c r="DM21" s="136"/>
      <c r="DN21" s="139">
        <v>369596</v>
      </c>
      <c r="DO21" s="97"/>
      <c r="DP21" s="135">
        <v>0</v>
      </c>
      <c r="DQ21" s="136"/>
      <c r="DR21" s="139">
        <v>369596</v>
      </c>
      <c r="DS21" s="97"/>
      <c r="DT21" s="138">
        <v>0</v>
      </c>
      <c r="DU21" s="97"/>
      <c r="DV21" s="135">
        <v>0</v>
      </c>
      <c r="DW21" s="136"/>
      <c r="DX21" s="139">
        <v>0</v>
      </c>
      <c r="DY21" s="97"/>
      <c r="DZ21" s="135">
        <v>0</v>
      </c>
      <c r="EA21" s="136"/>
      <c r="EB21" s="139">
        <v>0</v>
      </c>
      <c r="EC21" s="97"/>
      <c r="ED21" s="135">
        <v>0</v>
      </c>
      <c r="EE21" s="136"/>
      <c r="EF21" s="139">
        <v>0</v>
      </c>
      <c r="EG21" s="97"/>
      <c r="EH21" s="138">
        <v>0</v>
      </c>
      <c r="EI21" s="97"/>
      <c r="EJ21" s="135">
        <v>0</v>
      </c>
      <c r="EK21" s="136"/>
      <c r="EL21" s="139">
        <v>0</v>
      </c>
      <c r="EM21" s="97"/>
      <c r="EN21" s="135">
        <v>0</v>
      </c>
      <c r="EO21" s="136"/>
      <c r="EP21" s="139">
        <v>0</v>
      </c>
    </row>
    <row r="22" spans="2:146">
      <c r="B22" s="130"/>
      <c r="C22" s="148" t="s">
        <v>33</v>
      </c>
      <c r="D22" s="148"/>
      <c r="E22" s="107"/>
      <c r="F22" s="131">
        <v>38987</v>
      </c>
      <c r="G22" s="132"/>
      <c r="H22" s="131">
        <v>17413</v>
      </c>
      <c r="I22" s="132"/>
      <c r="J22" s="131">
        <v>16169</v>
      </c>
      <c r="K22" s="132"/>
      <c r="L22" s="110">
        <v>5176</v>
      </c>
      <c r="M22" s="111"/>
      <c r="N22" s="135">
        <f t="shared" si="0"/>
        <v>1250</v>
      </c>
      <c r="O22" s="111"/>
      <c r="P22" s="113">
        <v>6426</v>
      </c>
      <c r="Q22" s="111"/>
      <c r="R22" s="135">
        <f t="shared" si="1"/>
        <v>1981</v>
      </c>
      <c r="S22" s="111"/>
      <c r="T22" s="113">
        <v>8407</v>
      </c>
      <c r="U22" s="111"/>
      <c r="V22" s="135">
        <f t="shared" si="2"/>
        <v>2310</v>
      </c>
      <c r="W22" s="111"/>
      <c r="X22" s="113">
        <v>10717</v>
      </c>
      <c r="Y22" s="111"/>
      <c r="Z22" s="110">
        <v>1037</v>
      </c>
      <c r="AA22" s="111"/>
      <c r="AB22" s="135">
        <f t="shared" si="3"/>
        <v>2922</v>
      </c>
      <c r="AC22" s="111"/>
      <c r="AD22" s="113">
        <v>3959</v>
      </c>
      <c r="AE22" s="111"/>
      <c r="AF22" s="135">
        <f t="shared" si="4"/>
        <v>-9700</v>
      </c>
      <c r="AG22" s="111"/>
      <c r="AH22" s="113">
        <v>-5741</v>
      </c>
      <c r="AI22" s="97"/>
      <c r="AJ22" s="135">
        <f t="shared" si="5"/>
        <v>15630</v>
      </c>
      <c r="AK22" s="111"/>
      <c r="AL22" s="113">
        <v>9889</v>
      </c>
      <c r="AM22" s="97"/>
      <c r="AN22" s="110">
        <v>2003</v>
      </c>
      <c r="AO22" s="97"/>
      <c r="AP22" s="135">
        <f t="shared" si="6"/>
        <v>2702</v>
      </c>
      <c r="AQ22" s="111"/>
      <c r="AR22" s="113">
        <v>4705</v>
      </c>
      <c r="AS22" s="111"/>
      <c r="AT22" s="135">
        <f t="shared" si="7"/>
        <v>11262</v>
      </c>
      <c r="AU22" s="111"/>
      <c r="AV22" s="113">
        <v>15967</v>
      </c>
      <c r="AW22" s="97"/>
      <c r="AX22" s="135">
        <f t="shared" si="8"/>
        <v>2121</v>
      </c>
      <c r="AY22" s="111"/>
      <c r="AZ22" s="113">
        <v>18088</v>
      </c>
      <c r="BA22" s="97"/>
      <c r="BB22" s="110">
        <v>5434</v>
      </c>
      <c r="BC22" s="114"/>
      <c r="BD22" s="135">
        <f t="shared" si="9"/>
        <v>9018</v>
      </c>
      <c r="BE22" s="111"/>
      <c r="BF22" s="113">
        <v>14452</v>
      </c>
      <c r="BG22" s="111"/>
      <c r="BH22" s="135">
        <f t="shared" si="10"/>
        <v>1701</v>
      </c>
      <c r="BI22" s="111"/>
      <c r="BJ22" s="113">
        <v>16153</v>
      </c>
      <c r="BK22" s="97"/>
      <c r="BL22" s="135">
        <f t="shared" si="11"/>
        <v>14453</v>
      </c>
      <c r="BM22" s="111"/>
      <c r="BN22" s="113">
        <v>30606</v>
      </c>
      <c r="BO22" s="97"/>
      <c r="BP22" s="110">
        <v>1934</v>
      </c>
      <c r="BQ22" s="97"/>
      <c r="BR22" s="135">
        <f t="shared" si="12"/>
        <v>6893</v>
      </c>
      <c r="BS22" s="111"/>
      <c r="BT22" s="113">
        <v>8827</v>
      </c>
      <c r="BU22" s="97"/>
      <c r="BV22" s="135">
        <f t="shared" si="13"/>
        <v>7947</v>
      </c>
      <c r="BW22" s="111"/>
      <c r="BX22" s="113">
        <v>16774</v>
      </c>
      <c r="BY22" s="97"/>
      <c r="BZ22" s="135">
        <f t="shared" si="14"/>
        <v>4695</v>
      </c>
      <c r="CA22" s="111"/>
      <c r="CB22" s="113">
        <v>21469</v>
      </c>
      <c r="CC22" s="97"/>
      <c r="CD22" s="110">
        <v>4251</v>
      </c>
      <c r="CE22" s="97"/>
      <c r="CF22" s="135">
        <f t="shared" si="15"/>
        <v>5399</v>
      </c>
      <c r="CG22" s="111"/>
      <c r="CH22" s="113">
        <v>9650</v>
      </c>
      <c r="CI22" s="97"/>
      <c r="CJ22" s="135">
        <f t="shared" si="16"/>
        <v>2618</v>
      </c>
      <c r="CK22" s="111"/>
      <c r="CL22" s="113">
        <v>12268</v>
      </c>
      <c r="CM22" s="97"/>
      <c r="CN22" s="135">
        <f t="shared" si="17"/>
        <v>4045</v>
      </c>
      <c r="CO22" s="111"/>
      <c r="CP22" s="113">
        <v>16313</v>
      </c>
      <c r="CQ22" s="97"/>
      <c r="CR22" s="110">
        <v>5059</v>
      </c>
      <c r="CS22" s="97"/>
      <c r="CT22" s="135">
        <v>4756</v>
      </c>
      <c r="CU22" s="111"/>
      <c r="CV22" s="113">
        <v>9815</v>
      </c>
      <c r="CW22" s="97"/>
      <c r="CX22" s="135">
        <v>6538</v>
      </c>
      <c r="CY22" s="111"/>
      <c r="CZ22" s="113">
        <v>16353</v>
      </c>
      <c r="DA22" s="97"/>
      <c r="DB22" s="135">
        <v>5769</v>
      </c>
      <c r="DC22" s="111"/>
      <c r="DD22" s="113">
        <v>22121</v>
      </c>
      <c r="DE22" s="97"/>
      <c r="DF22" s="110">
        <v>3623</v>
      </c>
      <c r="DG22" s="97"/>
      <c r="DH22" s="135">
        <v>5027</v>
      </c>
      <c r="DI22" s="111"/>
      <c r="DJ22" s="113">
        <v>8650</v>
      </c>
      <c r="DK22" s="97"/>
      <c r="DL22" s="135">
        <v>4868</v>
      </c>
      <c r="DM22" s="111"/>
      <c r="DN22" s="113">
        <v>13518</v>
      </c>
      <c r="DO22" s="97"/>
      <c r="DP22" s="135">
        <v>3823</v>
      </c>
      <c r="DQ22" s="111"/>
      <c r="DR22" s="113">
        <v>17341</v>
      </c>
      <c r="DS22" s="97"/>
      <c r="DT22" s="110">
        <v>1362</v>
      </c>
      <c r="DU22" s="97"/>
      <c r="DV22" s="135">
        <v>812</v>
      </c>
      <c r="DW22" s="111"/>
      <c r="DX22" s="113">
        <v>2174</v>
      </c>
      <c r="DY22" s="97"/>
      <c r="DZ22" s="135">
        <v>3135</v>
      </c>
      <c r="EA22" s="111"/>
      <c r="EB22" s="113">
        <v>5309</v>
      </c>
      <c r="EC22" s="97"/>
      <c r="ED22" s="135">
        <v>5085</v>
      </c>
      <c r="EE22" s="111"/>
      <c r="EF22" s="113">
        <v>10393</v>
      </c>
      <c r="EG22" s="97"/>
      <c r="EH22" s="110">
        <v>2111</v>
      </c>
      <c r="EI22" s="97"/>
      <c r="EJ22" s="135">
        <v>5325</v>
      </c>
      <c r="EK22" s="111"/>
      <c r="EL22" s="113">
        <v>7436</v>
      </c>
      <c r="EM22" s="97"/>
      <c r="EN22" s="135">
        <v>5210</v>
      </c>
      <c r="EO22" s="111"/>
      <c r="EP22" s="113">
        <v>12646</v>
      </c>
    </row>
    <row r="23" spans="2:146">
      <c r="B23" s="130"/>
      <c r="C23" s="148" t="s">
        <v>34</v>
      </c>
      <c r="D23" s="148"/>
      <c r="E23" s="107"/>
      <c r="F23" s="131">
        <v>0</v>
      </c>
      <c r="G23" s="132"/>
      <c r="H23" s="131">
        <v>0</v>
      </c>
      <c r="I23" s="132"/>
      <c r="J23" s="131">
        <v>0</v>
      </c>
      <c r="K23" s="132"/>
      <c r="L23" s="110">
        <v>0</v>
      </c>
      <c r="M23" s="111"/>
      <c r="N23" s="135">
        <f t="shared" si="0"/>
        <v>0</v>
      </c>
      <c r="O23" s="111"/>
      <c r="P23" s="113">
        <v>0</v>
      </c>
      <c r="Q23" s="111"/>
      <c r="R23" s="135">
        <f t="shared" si="1"/>
        <v>0</v>
      </c>
      <c r="S23" s="111"/>
      <c r="T23" s="113">
        <v>0</v>
      </c>
      <c r="U23" s="111"/>
      <c r="V23" s="135">
        <f t="shared" si="2"/>
        <v>0</v>
      </c>
      <c r="W23" s="111"/>
      <c r="X23" s="113">
        <v>0</v>
      </c>
      <c r="Y23" s="111"/>
      <c r="Z23" s="110">
        <v>0</v>
      </c>
      <c r="AA23" s="111"/>
      <c r="AB23" s="135">
        <f t="shared" si="3"/>
        <v>0</v>
      </c>
      <c r="AC23" s="111"/>
      <c r="AD23" s="113">
        <v>0</v>
      </c>
      <c r="AE23" s="111"/>
      <c r="AF23" s="135">
        <f t="shared" si="4"/>
        <v>0</v>
      </c>
      <c r="AG23" s="111"/>
      <c r="AH23" s="113">
        <v>0</v>
      </c>
      <c r="AI23" s="97"/>
      <c r="AJ23" s="135">
        <f t="shared" si="5"/>
        <v>0</v>
      </c>
      <c r="AK23" s="111"/>
      <c r="AL23" s="113">
        <v>0</v>
      </c>
      <c r="AM23" s="97"/>
      <c r="AN23" s="110">
        <v>-4213</v>
      </c>
      <c r="AO23" s="97"/>
      <c r="AP23" s="135">
        <f t="shared" si="6"/>
        <v>0</v>
      </c>
      <c r="AQ23" s="111"/>
      <c r="AR23" s="113">
        <v>-4213</v>
      </c>
      <c r="AS23" s="111"/>
      <c r="AT23" s="135">
        <f t="shared" si="7"/>
        <v>65</v>
      </c>
      <c r="AU23" s="111"/>
      <c r="AV23" s="113">
        <v>-4148</v>
      </c>
      <c r="AW23" s="97"/>
      <c r="AX23" s="135">
        <f t="shared" si="8"/>
        <v>25170</v>
      </c>
      <c r="AY23" s="111"/>
      <c r="AZ23" s="113">
        <v>21022</v>
      </c>
      <c r="BA23" s="97"/>
      <c r="BB23" s="110">
        <v>6931</v>
      </c>
      <c r="BC23" s="114"/>
      <c r="BD23" s="135">
        <f t="shared" si="9"/>
        <v>-249024</v>
      </c>
      <c r="BE23" s="111"/>
      <c r="BF23" s="113">
        <v>-242093</v>
      </c>
      <c r="BG23" s="111"/>
      <c r="BH23" s="135">
        <f t="shared" si="10"/>
        <v>-1534</v>
      </c>
      <c r="BI23" s="111"/>
      <c r="BJ23" s="113">
        <v>-243627</v>
      </c>
      <c r="BK23" s="97"/>
      <c r="BL23" s="135">
        <f t="shared" si="11"/>
        <v>-3140</v>
      </c>
      <c r="BM23" s="111"/>
      <c r="BN23" s="113">
        <v>-246767</v>
      </c>
      <c r="BO23" s="97"/>
      <c r="BP23" s="110">
        <v>-6900</v>
      </c>
      <c r="BQ23" s="97"/>
      <c r="BR23" s="135">
        <f t="shared" si="12"/>
        <v>-10511</v>
      </c>
      <c r="BS23" s="111"/>
      <c r="BT23" s="113">
        <v>-17411</v>
      </c>
      <c r="BU23" s="97"/>
      <c r="BV23" s="135">
        <f t="shared" si="13"/>
        <v>-10283</v>
      </c>
      <c r="BW23" s="111"/>
      <c r="BX23" s="113">
        <v>-27694</v>
      </c>
      <c r="BY23" s="97"/>
      <c r="BZ23" s="135">
        <f t="shared" si="14"/>
        <v>-5136</v>
      </c>
      <c r="CA23" s="111"/>
      <c r="CB23" s="113">
        <v>-32830</v>
      </c>
      <c r="CC23" s="97"/>
      <c r="CD23" s="110">
        <v>-111477</v>
      </c>
      <c r="CE23" s="97"/>
      <c r="CF23" s="135">
        <f t="shared" si="15"/>
        <v>-1705</v>
      </c>
      <c r="CG23" s="111"/>
      <c r="CH23" s="113">
        <v>-113182</v>
      </c>
      <c r="CI23" s="97"/>
      <c r="CJ23" s="135">
        <f t="shared" si="16"/>
        <v>-643</v>
      </c>
      <c r="CK23" s="111"/>
      <c r="CL23" s="113">
        <v>-113825</v>
      </c>
      <c r="CM23" s="97"/>
      <c r="CN23" s="135">
        <f t="shared" si="17"/>
        <v>270</v>
      </c>
      <c r="CO23" s="111"/>
      <c r="CP23" s="113">
        <v>-113555</v>
      </c>
      <c r="CQ23" s="97"/>
      <c r="CR23" s="110">
        <v>-124</v>
      </c>
      <c r="CS23" s="97"/>
      <c r="CT23" s="135">
        <v>0</v>
      </c>
      <c r="CU23" s="111"/>
      <c r="CV23" s="113">
        <v>-124</v>
      </c>
      <c r="CW23" s="97"/>
      <c r="CX23" s="135">
        <v>0</v>
      </c>
      <c r="CY23" s="111"/>
      <c r="CZ23" s="113">
        <v>-124</v>
      </c>
      <c r="DA23" s="97"/>
      <c r="DB23" s="135">
        <v>-50</v>
      </c>
      <c r="DC23" s="111"/>
      <c r="DD23" s="113">
        <v>-174</v>
      </c>
      <c r="DE23" s="97"/>
      <c r="DF23" s="110">
        <v>0</v>
      </c>
      <c r="DG23" s="97"/>
      <c r="DH23" s="135">
        <v>0</v>
      </c>
      <c r="DI23" s="111"/>
      <c r="DJ23" s="113">
        <v>0</v>
      </c>
      <c r="DK23" s="97"/>
      <c r="DL23" s="135">
        <v>-735</v>
      </c>
      <c r="DM23" s="111"/>
      <c r="DN23" s="113">
        <v>-735</v>
      </c>
      <c r="DO23" s="97"/>
      <c r="DP23" s="135">
        <v>0</v>
      </c>
      <c r="DQ23" s="111"/>
      <c r="DR23" s="113">
        <v>-735</v>
      </c>
      <c r="DS23" s="97"/>
      <c r="DT23" s="110">
        <v>0</v>
      </c>
      <c r="DU23" s="97"/>
      <c r="DV23" s="135">
        <v>0</v>
      </c>
      <c r="DW23" s="111"/>
      <c r="DX23" s="113">
        <v>0</v>
      </c>
      <c r="DY23" s="97"/>
      <c r="DZ23" s="135">
        <v>0</v>
      </c>
      <c r="EA23" s="111"/>
      <c r="EB23" s="113">
        <v>0</v>
      </c>
      <c r="EC23" s="97"/>
      <c r="ED23" s="135">
        <v>0</v>
      </c>
      <c r="EE23" s="111"/>
      <c r="EF23" s="113">
        <v>0</v>
      </c>
      <c r="EG23" s="97"/>
      <c r="EH23" s="110">
        <v>-1671</v>
      </c>
      <c r="EI23" s="97"/>
      <c r="EJ23" s="135">
        <v>-18</v>
      </c>
      <c r="EK23" s="111"/>
      <c r="EL23" s="113">
        <v>-1690</v>
      </c>
      <c r="EM23" s="97"/>
      <c r="EN23" s="135">
        <v>226</v>
      </c>
      <c r="EO23" s="111"/>
      <c r="EP23" s="113">
        <v>-1464</v>
      </c>
    </row>
    <row r="24" spans="2:146">
      <c r="B24" s="130"/>
      <c r="C24" s="148" t="s">
        <v>76</v>
      </c>
      <c r="D24" s="148"/>
      <c r="E24" s="107"/>
      <c r="F24" s="131">
        <v>0</v>
      </c>
      <c r="G24" s="132"/>
      <c r="H24" s="131">
        <v>0</v>
      </c>
      <c r="I24" s="132"/>
      <c r="J24" s="131">
        <v>0</v>
      </c>
      <c r="K24" s="132"/>
      <c r="L24" s="110">
        <v>0</v>
      </c>
      <c r="M24" s="111"/>
      <c r="N24" s="135">
        <f t="shared" si="0"/>
        <v>0</v>
      </c>
      <c r="O24" s="111"/>
      <c r="P24" s="113">
        <v>0</v>
      </c>
      <c r="Q24" s="111"/>
      <c r="R24" s="135">
        <f t="shared" si="1"/>
        <v>0</v>
      </c>
      <c r="S24" s="111"/>
      <c r="T24" s="113">
        <v>0</v>
      </c>
      <c r="U24" s="111"/>
      <c r="V24" s="135">
        <f t="shared" si="2"/>
        <v>0</v>
      </c>
      <c r="W24" s="111"/>
      <c r="X24" s="113">
        <v>0</v>
      </c>
      <c r="Y24" s="111"/>
      <c r="Z24" s="110">
        <v>0</v>
      </c>
      <c r="AA24" s="111"/>
      <c r="AB24" s="135">
        <f t="shared" si="3"/>
        <v>0</v>
      </c>
      <c r="AC24" s="111"/>
      <c r="AD24" s="113">
        <v>0</v>
      </c>
      <c r="AE24" s="111"/>
      <c r="AF24" s="135">
        <f t="shared" si="4"/>
        <v>0</v>
      </c>
      <c r="AG24" s="111"/>
      <c r="AH24" s="113">
        <v>0</v>
      </c>
      <c r="AI24" s="97"/>
      <c r="AJ24" s="135">
        <f t="shared" si="5"/>
        <v>-11762</v>
      </c>
      <c r="AK24" s="111"/>
      <c r="AL24" s="113">
        <v>-11762</v>
      </c>
      <c r="AM24" s="97"/>
      <c r="AN24" s="110">
        <v>0</v>
      </c>
      <c r="AO24" s="97"/>
      <c r="AP24" s="135">
        <f t="shared" si="6"/>
        <v>0</v>
      </c>
      <c r="AQ24" s="111"/>
      <c r="AR24" s="113">
        <v>0</v>
      </c>
      <c r="AS24" s="111"/>
      <c r="AT24" s="135">
        <f t="shared" si="7"/>
        <v>0</v>
      </c>
      <c r="AU24" s="111"/>
      <c r="AV24" s="113">
        <v>0</v>
      </c>
      <c r="AW24" s="97"/>
      <c r="AX24" s="135">
        <f t="shared" si="8"/>
        <v>0</v>
      </c>
      <c r="AY24" s="111"/>
      <c r="AZ24" s="113">
        <v>0</v>
      </c>
      <c r="BA24" s="97"/>
      <c r="BB24" s="110">
        <v>0</v>
      </c>
      <c r="BC24" s="114"/>
      <c r="BD24" s="135">
        <f t="shared" si="9"/>
        <v>0</v>
      </c>
      <c r="BE24" s="111"/>
      <c r="BF24" s="113">
        <v>0</v>
      </c>
      <c r="BG24" s="111"/>
      <c r="BH24" s="135">
        <f t="shared" si="10"/>
        <v>0</v>
      </c>
      <c r="BI24" s="111"/>
      <c r="BJ24" s="113">
        <v>0</v>
      </c>
      <c r="BK24" s="97"/>
      <c r="BL24" s="135">
        <f t="shared" si="11"/>
        <v>-255479</v>
      </c>
      <c r="BM24" s="111"/>
      <c r="BN24" s="113">
        <v>-255479</v>
      </c>
      <c r="BO24" s="97"/>
      <c r="BP24" s="110">
        <v>-91446</v>
      </c>
      <c r="BQ24" s="97"/>
      <c r="BR24" s="135">
        <f t="shared" si="12"/>
        <v>0</v>
      </c>
      <c r="BS24" s="111"/>
      <c r="BT24" s="113">
        <v>-91446</v>
      </c>
      <c r="BU24" s="97"/>
      <c r="BV24" s="135">
        <f t="shared" si="13"/>
        <v>0</v>
      </c>
      <c r="BW24" s="111"/>
      <c r="BX24" s="113">
        <v>-91446</v>
      </c>
      <c r="BY24" s="97"/>
      <c r="BZ24" s="135">
        <f t="shared" si="14"/>
        <v>-21547</v>
      </c>
      <c r="CA24" s="111"/>
      <c r="CB24" s="113">
        <v>-112993</v>
      </c>
      <c r="CC24" s="97"/>
      <c r="CD24" s="110">
        <v>-122873</v>
      </c>
      <c r="CE24" s="97"/>
      <c r="CF24" s="135">
        <f t="shared" si="15"/>
        <v>-25</v>
      </c>
      <c r="CG24" s="111"/>
      <c r="CH24" s="113">
        <v>-122898</v>
      </c>
      <c r="CI24" s="97"/>
      <c r="CJ24" s="135">
        <f t="shared" si="16"/>
        <v>-23986</v>
      </c>
      <c r="CK24" s="111"/>
      <c r="CL24" s="113">
        <v>-146884</v>
      </c>
      <c r="CM24" s="97"/>
      <c r="CN24" s="135">
        <f t="shared" si="17"/>
        <v>0</v>
      </c>
      <c r="CO24" s="111"/>
      <c r="CP24" s="113">
        <v>-146884</v>
      </c>
      <c r="CQ24" s="97"/>
      <c r="CR24" s="110">
        <v>0</v>
      </c>
      <c r="CS24" s="97"/>
      <c r="CT24" s="135">
        <v>-9149</v>
      </c>
      <c r="CU24" s="111"/>
      <c r="CV24" s="113">
        <v>-9149</v>
      </c>
      <c r="CW24" s="97"/>
      <c r="CX24" s="135">
        <v>-7119</v>
      </c>
      <c r="CY24" s="111"/>
      <c r="CZ24" s="113">
        <v>-16269</v>
      </c>
      <c r="DA24" s="97"/>
      <c r="DB24" s="135">
        <v>-2701</v>
      </c>
      <c r="DC24" s="111"/>
      <c r="DD24" s="113">
        <v>-18970</v>
      </c>
      <c r="DE24" s="97"/>
      <c r="DF24" s="110">
        <v>-17063</v>
      </c>
      <c r="DG24" s="97"/>
      <c r="DH24" s="135">
        <v>-1745</v>
      </c>
      <c r="DI24" s="111"/>
      <c r="DJ24" s="113">
        <v>-18807</v>
      </c>
      <c r="DK24" s="97"/>
      <c r="DL24" s="135">
        <v>-11</v>
      </c>
      <c r="DM24" s="111"/>
      <c r="DN24" s="113">
        <v>-18818</v>
      </c>
      <c r="DO24" s="97"/>
      <c r="DP24" s="135">
        <v>-3361</v>
      </c>
      <c r="DQ24" s="111"/>
      <c r="DR24" s="113">
        <v>-22179</v>
      </c>
      <c r="DS24" s="97"/>
      <c r="DT24" s="110">
        <v>-6737</v>
      </c>
      <c r="DU24" s="97"/>
      <c r="DV24" s="135">
        <v>-10637</v>
      </c>
      <c r="DW24" s="111"/>
      <c r="DX24" s="113">
        <v>-17374</v>
      </c>
      <c r="DY24" s="97"/>
      <c r="DZ24" s="135">
        <v>-408</v>
      </c>
      <c r="EA24" s="111"/>
      <c r="EB24" s="113">
        <v>-17782</v>
      </c>
      <c r="EC24" s="97"/>
      <c r="ED24" s="135">
        <v>0</v>
      </c>
      <c r="EE24" s="111"/>
      <c r="EF24" s="113">
        <v>-17782</v>
      </c>
      <c r="EG24" s="97"/>
      <c r="EH24" s="110">
        <v>-2100</v>
      </c>
      <c r="EI24" s="97"/>
      <c r="EJ24" s="135">
        <v>12</v>
      </c>
      <c r="EK24" s="111"/>
      <c r="EL24" s="113">
        <v>-2087</v>
      </c>
      <c r="EM24" s="97"/>
      <c r="EN24" s="135">
        <v>1709</v>
      </c>
      <c r="EO24" s="111"/>
      <c r="EP24" s="113">
        <v>-378</v>
      </c>
    </row>
    <row r="25" spans="2:146">
      <c r="B25" s="106"/>
      <c r="C25" s="151"/>
      <c r="D25" s="100" t="s">
        <v>39</v>
      </c>
      <c r="E25" s="151"/>
      <c r="F25" s="142">
        <f>SUM(F17:F24)</f>
        <v>3560071</v>
      </c>
      <c r="G25" s="132"/>
      <c r="H25" s="142">
        <f>SUM(H17:H24)</f>
        <v>4209772</v>
      </c>
      <c r="I25" s="132"/>
      <c r="J25" s="142">
        <f>SUM(J17:J24)</f>
        <v>3888355</v>
      </c>
      <c r="K25" s="132"/>
      <c r="L25" s="142">
        <f>SUM(L17:L24)</f>
        <v>944709</v>
      </c>
      <c r="M25" s="111"/>
      <c r="N25" s="152">
        <f>SUM(N17:N24)</f>
        <v>964865</v>
      </c>
      <c r="O25" s="111"/>
      <c r="P25" s="145">
        <f>SUM(P17:P24)</f>
        <v>1909574</v>
      </c>
      <c r="Q25" s="111"/>
      <c r="R25" s="152">
        <f>SUM(R17:R24)</f>
        <v>999422</v>
      </c>
      <c r="S25" s="111"/>
      <c r="T25" s="145">
        <f>SUM(T17:T24)</f>
        <v>2908996</v>
      </c>
      <c r="U25" s="111"/>
      <c r="V25" s="152">
        <f>SUM(V17:V24)</f>
        <v>1067212</v>
      </c>
      <c r="W25" s="111"/>
      <c r="X25" s="145">
        <f>SUM(X17:X24)</f>
        <v>3976208</v>
      </c>
      <c r="Y25" s="111"/>
      <c r="Z25" s="142">
        <f>SUM(Z17:Z24)</f>
        <v>998344</v>
      </c>
      <c r="AA25" s="111"/>
      <c r="AB25" s="152">
        <f>SUM(AB17:AB24)</f>
        <v>972086</v>
      </c>
      <c r="AC25" s="111"/>
      <c r="AD25" s="145">
        <f>SUM(AD17:AD24)</f>
        <v>1970430</v>
      </c>
      <c r="AE25" s="111"/>
      <c r="AF25" s="152">
        <f>SUM(AF17:AF24)</f>
        <v>1008819</v>
      </c>
      <c r="AG25" s="111"/>
      <c r="AH25" s="145">
        <f>SUM(AH17:AH24)</f>
        <v>2979249</v>
      </c>
      <c r="AI25" s="97"/>
      <c r="AJ25" s="152">
        <f>SUM(AJ17:AJ24)</f>
        <v>1083317</v>
      </c>
      <c r="AK25" s="111"/>
      <c r="AL25" s="145">
        <f>SUM(AL17:AL24)</f>
        <v>4062566</v>
      </c>
      <c r="AM25" s="97"/>
      <c r="AN25" s="142">
        <f>SUM(AN17:AN24)</f>
        <v>1006919</v>
      </c>
      <c r="AO25" s="97"/>
      <c r="AP25" s="152">
        <f>SUM(AP17:AP24)</f>
        <v>1020237</v>
      </c>
      <c r="AQ25" s="111"/>
      <c r="AR25" s="145">
        <f>SUM(AR17:AR24)</f>
        <v>2027156</v>
      </c>
      <c r="AS25" s="111"/>
      <c r="AT25" s="152">
        <f>SUM(AT17:AT24)</f>
        <v>1092278</v>
      </c>
      <c r="AU25" s="111"/>
      <c r="AV25" s="145">
        <f>SUM(AV17:AV24)</f>
        <v>3119434</v>
      </c>
      <c r="AW25" s="100"/>
      <c r="AX25" s="152">
        <f>SUM(AX17:AX24)</f>
        <v>1175994</v>
      </c>
      <c r="AY25" s="111"/>
      <c r="AZ25" s="145">
        <f>SUM(AZ17:AZ24)</f>
        <v>4295428</v>
      </c>
      <c r="BA25" s="100"/>
      <c r="BB25" s="142">
        <f>SUM(BB17:BB24)</f>
        <v>1080280</v>
      </c>
      <c r="BC25" s="114"/>
      <c r="BD25" s="152">
        <f>SUM(BD17:BD24)</f>
        <v>776038</v>
      </c>
      <c r="BE25" s="111"/>
      <c r="BF25" s="145">
        <f>SUM(BF17:BF24)</f>
        <v>1856318</v>
      </c>
      <c r="BG25" s="111"/>
      <c r="BH25" s="152">
        <f>SUM(BH17:BH24)</f>
        <v>982443</v>
      </c>
      <c r="BI25" s="111"/>
      <c r="BJ25" s="145">
        <f>SUM(BJ17:BJ24)</f>
        <v>2838761</v>
      </c>
      <c r="BK25" s="100"/>
      <c r="BL25" s="152">
        <f>SUM(BL17:BL24)</f>
        <v>933210</v>
      </c>
      <c r="BM25" s="111"/>
      <c r="BN25" s="145">
        <f>SUM(BN17:BN24)</f>
        <v>3771971</v>
      </c>
      <c r="BO25" s="100"/>
      <c r="BP25" s="142">
        <f>SUM(BP17:BP24)</f>
        <v>917986</v>
      </c>
      <c r="BQ25" s="100"/>
      <c r="BR25" s="152">
        <f>SUM(BR17:BR24)</f>
        <v>1008080</v>
      </c>
      <c r="BS25" s="111"/>
      <c r="BT25" s="145">
        <f>SUM(BT17:BT24)</f>
        <v>1926066</v>
      </c>
      <c r="BU25" s="100"/>
      <c r="BV25" s="152">
        <f>SUM(BV17:BV24)</f>
        <v>1051773</v>
      </c>
      <c r="BW25" s="111"/>
      <c r="BX25" s="145">
        <f>SUM(BX17:BX24)</f>
        <v>2977839</v>
      </c>
      <c r="BY25" s="100"/>
      <c r="BZ25" s="152">
        <f>SUM(BZ17:BZ24)</f>
        <v>1058298</v>
      </c>
      <c r="CA25" s="111"/>
      <c r="CB25" s="145">
        <f>SUM(CB17:CB24)</f>
        <v>4036137</v>
      </c>
      <c r="CC25" s="100"/>
      <c r="CD25" s="142">
        <f>SUM(CD17:CD24)</f>
        <v>714932</v>
      </c>
      <c r="CE25" s="100"/>
      <c r="CF25" s="152">
        <f>SUM(CF17:CF24)</f>
        <v>967168</v>
      </c>
      <c r="CG25" s="111"/>
      <c r="CH25" s="145">
        <f>SUM(CH17:CH24)</f>
        <v>1682100</v>
      </c>
      <c r="CI25" s="100"/>
      <c r="CJ25" s="152">
        <f>SUM(CJ17:CJ24)</f>
        <v>991181</v>
      </c>
      <c r="CK25" s="111"/>
      <c r="CL25" s="145">
        <f>SUM(CL17:CL24)</f>
        <v>2673281</v>
      </c>
      <c r="CM25" s="100"/>
      <c r="CN25" s="152">
        <f>SUM(CN17:CN24)</f>
        <v>1010630</v>
      </c>
      <c r="CO25" s="111"/>
      <c r="CP25" s="145">
        <f>SUM(CP17:CP24)</f>
        <v>3683911</v>
      </c>
      <c r="CQ25" s="100"/>
      <c r="CR25" s="142">
        <f>SUM(CR17:CR24)</f>
        <v>958892</v>
      </c>
      <c r="CS25" s="100"/>
      <c r="CT25" s="152">
        <f>SUM(CT17:CT24)</f>
        <v>962063</v>
      </c>
      <c r="CU25" s="111"/>
      <c r="CV25" s="145">
        <f>SUM(CV17:CV24)</f>
        <v>1920955</v>
      </c>
      <c r="CW25" s="100"/>
      <c r="CX25" s="152">
        <f>SUM(CX17:CX24)</f>
        <v>1000847</v>
      </c>
      <c r="CY25" s="111"/>
      <c r="CZ25" s="145">
        <f>SUM(CZ17:CZ24)</f>
        <v>2921802</v>
      </c>
      <c r="DA25" s="100"/>
      <c r="DB25" s="152">
        <f>SUM(DB17:DB24)</f>
        <v>1019690</v>
      </c>
      <c r="DC25" s="111"/>
      <c r="DD25" s="145">
        <f>SUM(DD17:DD24)</f>
        <v>3941492</v>
      </c>
      <c r="DE25" s="100"/>
      <c r="DF25" s="142">
        <f>SUM(DF17:DF24)</f>
        <v>882932</v>
      </c>
      <c r="DG25" s="100"/>
      <c r="DH25" s="152">
        <f>SUM(DH17:DH24)</f>
        <v>957245</v>
      </c>
      <c r="DI25" s="111"/>
      <c r="DJ25" s="145">
        <f>SUM(DJ17:DJ24)</f>
        <v>1840177</v>
      </c>
      <c r="DK25" s="100"/>
      <c r="DL25" s="152">
        <f>SUM(DL17:DL24)</f>
        <v>1322449</v>
      </c>
      <c r="DM25" s="111"/>
      <c r="DN25" s="145">
        <f>SUM(DN17:DN24)</f>
        <v>3162626</v>
      </c>
      <c r="DO25" s="100"/>
      <c r="DP25" s="152">
        <f>SUM(DP17:DP24)</f>
        <v>1032200</v>
      </c>
      <c r="DQ25" s="111"/>
      <c r="DR25" s="145">
        <f>SUM(DR17:DR24)</f>
        <v>4194826</v>
      </c>
      <c r="DS25" s="100"/>
      <c r="DT25" s="142">
        <f>SUM(DT17:DT24)</f>
        <v>876876</v>
      </c>
      <c r="DU25" s="100"/>
      <c r="DV25" s="152">
        <f>SUM(DV17:DV24)</f>
        <v>917872</v>
      </c>
      <c r="DW25" s="111"/>
      <c r="DX25" s="145">
        <f>SUM(DX17:DX24)</f>
        <v>1794748</v>
      </c>
      <c r="DY25" s="100"/>
      <c r="DZ25" s="152">
        <f>SUM(DZ17:DZ24)</f>
        <v>966825</v>
      </c>
      <c r="EA25" s="111"/>
      <c r="EB25" s="145">
        <f>SUM(EB17:EB24)</f>
        <v>2761572</v>
      </c>
      <c r="EC25" s="100"/>
      <c r="ED25" s="152">
        <f>SUM(ED17:ED24)</f>
        <v>1047947</v>
      </c>
      <c r="EE25" s="111"/>
      <c r="EF25" s="145">
        <f>SUM(EF17:EF24)</f>
        <v>3809520</v>
      </c>
      <c r="EG25" s="100"/>
      <c r="EH25" s="142">
        <f>SUM(EH17:EH24)</f>
        <v>901288</v>
      </c>
      <c r="EI25" s="100"/>
      <c r="EJ25" s="152">
        <f>SUM(EJ17:EJ24)</f>
        <v>943031</v>
      </c>
      <c r="EK25" s="111"/>
      <c r="EL25" s="145">
        <f>SUM(EL17:EL24)</f>
        <v>1844319</v>
      </c>
      <c r="EM25" s="100"/>
      <c r="EN25" s="152">
        <f>SUM(EN17:EN24)</f>
        <v>1010378</v>
      </c>
      <c r="EO25" s="111"/>
      <c r="EP25" s="145">
        <f>SUM(EP17:EP24)</f>
        <v>2854697</v>
      </c>
    </row>
    <row r="26" spans="2:146">
      <c r="B26" s="130"/>
      <c r="C26" s="116"/>
      <c r="D26" s="116"/>
      <c r="E26" s="116"/>
      <c r="F26" s="131"/>
      <c r="G26" s="132"/>
      <c r="H26" s="131"/>
      <c r="I26" s="132"/>
      <c r="J26" s="131"/>
      <c r="K26" s="132"/>
      <c r="L26" s="110"/>
      <c r="M26" s="111"/>
      <c r="N26" s="112"/>
      <c r="O26" s="111"/>
      <c r="P26" s="113"/>
      <c r="Q26" s="111"/>
      <c r="R26" s="112"/>
      <c r="S26" s="111"/>
      <c r="T26" s="113"/>
      <c r="U26" s="111"/>
      <c r="V26" s="112"/>
      <c r="W26" s="111"/>
      <c r="X26" s="113"/>
      <c r="Y26" s="111"/>
      <c r="Z26" s="110"/>
      <c r="AA26" s="111"/>
      <c r="AB26" s="112"/>
      <c r="AC26" s="111"/>
      <c r="AD26" s="113"/>
      <c r="AE26" s="111"/>
      <c r="AF26" s="112"/>
      <c r="AG26" s="111"/>
      <c r="AH26" s="113"/>
      <c r="AI26" s="97"/>
      <c r="AJ26" s="112"/>
      <c r="AK26" s="111"/>
      <c r="AL26" s="113"/>
      <c r="AM26" s="97"/>
      <c r="AN26" s="110"/>
      <c r="AO26" s="97"/>
      <c r="AP26" s="112"/>
      <c r="AQ26" s="111"/>
      <c r="AR26" s="113"/>
      <c r="AS26" s="111"/>
      <c r="AT26" s="112"/>
      <c r="AU26" s="111"/>
      <c r="AV26" s="113"/>
      <c r="AW26" s="97"/>
      <c r="AX26" s="112"/>
      <c r="AY26" s="111"/>
      <c r="AZ26" s="113"/>
      <c r="BA26" s="97"/>
      <c r="BB26" s="110"/>
      <c r="BC26" s="114"/>
      <c r="BD26" s="112"/>
      <c r="BE26" s="111"/>
      <c r="BF26" s="113"/>
      <c r="BG26" s="111"/>
      <c r="BH26" s="112"/>
      <c r="BI26" s="111"/>
      <c r="BJ26" s="113"/>
      <c r="BK26" s="97"/>
      <c r="BL26" s="112"/>
      <c r="BM26" s="111"/>
      <c r="BN26" s="113"/>
      <c r="BO26" s="97"/>
      <c r="BP26" s="110"/>
      <c r="BQ26" s="97"/>
      <c r="BR26" s="112"/>
      <c r="BS26" s="111"/>
      <c r="BT26" s="113"/>
      <c r="BU26" s="97"/>
      <c r="BV26" s="112"/>
      <c r="BW26" s="111"/>
      <c r="BX26" s="113"/>
      <c r="BY26" s="97"/>
      <c r="BZ26" s="112"/>
      <c r="CA26" s="111"/>
      <c r="CB26" s="113"/>
      <c r="CC26" s="97"/>
      <c r="CD26" s="110"/>
      <c r="CE26" s="97"/>
      <c r="CF26" s="112"/>
      <c r="CG26" s="111"/>
      <c r="CH26" s="113"/>
      <c r="CI26" s="97"/>
      <c r="CJ26" s="112"/>
      <c r="CK26" s="111"/>
      <c r="CL26" s="113"/>
      <c r="CM26" s="97"/>
      <c r="CN26" s="112"/>
      <c r="CO26" s="111"/>
      <c r="CP26" s="113"/>
      <c r="CQ26" s="97"/>
      <c r="CR26" s="110"/>
      <c r="CS26" s="97"/>
      <c r="CT26" s="112"/>
      <c r="CU26" s="111"/>
      <c r="CV26" s="113"/>
      <c r="CW26" s="97"/>
      <c r="CX26" s="112"/>
      <c r="CY26" s="111"/>
      <c r="CZ26" s="113"/>
      <c r="DA26" s="97"/>
      <c r="DB26" s="112"/>
      <c r="DC26" s="111"/>
      <c r="DD26" s="113"/>
      <c r="DE26" s="97"/>
      <c r="DF26" s="110"/>
      <c r="DG26" s="97"/>
      <c r="DH26" s="112"/>
      <c r="DI26" s="111"/>
      <c r="DJ26" s="113"/>
      <c r="DK26" s="97"/>
      <c r="DL26" s="112"/>
      <c r="DM26" s="111"/>
      <c r="DN26" s="113"/>
      <c r="DO26" s="97"/>
      <c r="DP26" s="112"/>
      <c r="DQ26" s="111"/>
      <c r="DR26" s="113"/>
      <c r="DS26" s="97"/>
      <c r="DT26" s="110"/>
      <c r="DU26" s="97"/>
      <c r="DV26" s="112"/>
      <c r="DW26" s="111"/>
      <c r="DX26" s="113"/>
      <c r="DY26" s="97"/>
      <c r="DZ26" s="112"/>
      <c r="EA26" s="111"/>
      <c r="EB26" s="113"/>
      <c r="EC26" s="97"/>
      <c r="ED26" s="112"/>
      <c r="EE26" s="111"/>
      <c r="EF26" s="113"/>
      <c r="EG26" s="97"/>
      <c r="EH26" s="110"/>
      <c r="EI26" s="97"/>
      <c r="EJ26" s="112"/>
      <c r="EK26" s="111"/>
      <c r="EL26" s="113"/>
      <c r="EM26" s="97"/>
      <c r="EN26" s="112"/>
      <c r="EO26" s="111"/>
      <c r="EP26" s="113"/>
    </row>
    <row r="27" spans="2:146">
      <c r="B27" s="153" t="s">
        <v>77</v>
      </c>
      <c r="C27" s="117"/>
      <c r="D27" s="117"/>
      <c r="E27" s="117"/>
      <c r="F27" s="131">
        <f>F13-F25</f>
        <v>379680</v>
      </c>
      <c r="G27" s="132"/>
      <c r="H27" s="131">
        <f>H13-H25</f>
        <v>32782</v>
      </c>
      <c r="I27" s="132"/>
      <c r="J27" s="131">
        <f>J13-J25</f>
        <v>325525</v>
      </c>
      <c r="K27" s="132"/>
      <c r="L27" s="131">
        <f>L13-L25</f>
        <v>79148</v>
      </c>
      <c r="M27" s="132"/>
      <c r="N27" s="154">
        <f>N13-N25</f>
        <v>65028</v>
      </c>
      <c r="O27" s="132"/>
      <c r="P27" s="155">
        <f>P13-P25</f>
        <v>144176</v>
      </c>
      <c r="Q27" s="111"/>
      <c r="R27" s="154">
        <f>R13-R25</f>
        <v>61359</v>
      </c>
      <c r="S27" s="132"/>
      <c r="T27" s="155">
        <f>T13-T25</f>
        <v>205535</v>
      </c>
      <c r="U27" s="132"/>
      <c r="V27" s="154">
        <f>V13-V25</f>
        <v>-4062</v>
      </c>
      <c r="W27" s="111"/>
      <c r="X27" s="155">
        <f>X13-X25</f>
        <v>201473</v>
      </c>
      <c r="Y27" s="132"/>
      <c r="Z27" s="131">
        <f>Z13-Z25</f>
        <v>58748</v>
      </c>
      <c r="AA27" s="132"/>
      <c r="AB27" s="154">
        <f>AB13-AB25</f>
        <v>104096</v>
      </c>
      <c r="AC27" s="132"/>
      <c r="AD27" s="155">
        <f>AD13-AD25</f>
        <v>162844</v>
      </c>
      <c r="AE27" s="132"/>
      <c r="AF27" s="154">
        <f>AF13-AF25</f>
        <v>101620</v>
      </c>
      <c r="AG27" s="132"/>
      <c r="AH27" s="155">
        <f>AH13-AH25</f>
        <v>264464</v>
      </c>
      <c r="AI27" s="111"/>
      <c r="AJ27" s="154">
        <f>AJ13-AJ25</f>
        <v>16316</v>
      </c>
      <c r="AK27" s="132"/>
      <c r="AL27" s="155">
        <f>AL13-AL25</f>
        <v>280780</v>
      </c>
      <c r="AM27" s="132"/>
      <c r="AN27" s="131">
        <f>AN13-AN25</f>
        <v>85202</v>
      </c>
      <c r="AO27" s="125"/>
      <c r="AP27" s="154">
        <f>AP13-AP25</f>
        <v>84163</v>
      </c>
      <c r="AQ27" s="132"/>
      <c r="AR27" s="155">
        <f>AR13-AR25</f>
        <v>169365</v>
      </c>
      <c r="AS27" s="132"/>
      <c r="AT27" s="154">
        <f>AT13-AT25</f>
        <v>48079</v>
      </c>
      <c r="AU27" s="132"/>
      <c r="AV27" s="155">
        <f>AV13-AV25</f>
        <v>217444</v>
      </c>
      <c r="AW27" s="132"/>
      <c r="AX27" s="154">
        <f>AX13-AX25</f>
        <v>-60788</v>
      </c>
      <c r="AY27" s="132"/>
      <c r="AZ27" s="155">
        <f>AZ13-AZ25</f>
        <v>156656</v>
      </c>
      <c r="BA27" s="111"/>
      <c r="BB27" s="131">
        <f>BB13-BB25</f>
        <v>1466</v>
      </c>
      <c r="BC27" s="154"/>
      <c r="BD27" s="154">
        <f>BD13-BD25</f>
        <v>219092</v>
      </c>
      <c r="BE27" s="132"/>
      <c r="BF27" s="155">
        <f>BF13-BF25</f>
        <v>220558</v>
      </c>
      <c r="BG27" s="111"/>
      <c r="BH27" s="154">
        <f>BH13-BH25</f>
        <v>-43207</v>
      </c>
      <c r="BI27" s="132"/>
      <c r="BJ27" s="155">
        <f>BJ13-BJ25</f>
        <v>177351</v>
      </c>
      <c r="BK27" s="132"/>
      <c r="BL27" s="154">
        <f>BL13-BL25</f>
        <v>-30486</v>
      </c>
      <c r="BM27" s="132"/>
      <c r="BN27" s="155">
        <f>BN13-BN25</f>
        <v>146865</v>
      </c>
      <c r="BO27" s="132"/>
      <c r="BP27" s="131">
        <f>BP13-BP25</f>
        <v>7825</v>
      </c>
      <c r="BQ27" s="132"/>
      <c r="BR27" s="154">
        <f>BR13-BR25</f>
        <v>-49780</v>
      </c>
      <c r="BS27" s="111"/>
      <c r="BT27" s="155">
        <f>BT13-BT25</f>
        <v>-41955</v>
      </c>
      <c r="BU27" s="132"/>
      <c r="BV27" s="154">
        <f>BV13-BV25</f>
        <v>-48979</v>
      </c>
      <c r="BW27" s="111"/>
      <c r="BX27" s="155">
        <f>BX13-BX25</f>
        <v>-90934</v>
      </c>
      <c r="BY27" s="132"/>
      <c r="BZ27" s="154">
        <f>BZ13-BZ25</f>
        <v>-43738</v>
      </c>
      <c r="CA27" s="111"/>
      <c r="CB27" s="155">
        <f>CB13-CB25</f>
        <v>-134672</v>
      </c>
      <c r="CC27" s="132"/>
      <c r="CD27" s="131">
        <f>CD13-CD25</f>
        <v>257035</v>
      </c>
      <c r="CE27" s="132"/>
      <c r="CF27" s="154">
        <f>CF13-CF25</f>
        <v>16210</v>
      </c>
      <c r="CG27" s="111"/>
      <c r="CH27" s="155">
        <f>CH13-CH25</f>
        <v>273245</v>
      </c>
      <c r="CI27" s="132"/>
      <c r="CJ27" s="154">
        <f>CJ13-CJ25</f>
        <v>87081</v>
      </c>
      <c r="CK27" s="111"/>
      <c r="CL27" s="155">
        <f>CL13-CL25</f>
        <v>360326</v>
      </c>
      <c r="CM27" s="132"/>
      <c r="CN27" s="154">
        <f>CN13-CN25</f>
        <v>-13525</v>
      </c>
      <c r="CO27" s="111"/>
      <c r="CP27" s="155">
        <f>CP13-CP25</f>
        <v>346801</v>
      </c>
      <c r="CQ27" s="132"/>
      <c r="CR27" s="131">
        <f>CR13-CR25</f>
        <v>10832</v>
      </c>
      <c r="CS27" s="132"/>
      <c r="CT27" s="154">
        <f>CT13-CT25</f>
        <v>29764</v>
      </c>
      <c r="CU27" s="111"/>
      <c r="CV27" s="155">
        <f>CV13-CV25</f>
        <v>40596</v>
      </c>
      <c r="CW27" s="132"/>
      <c r="CX27" s="154">
        <f>CX13-CX25</f>
        <v>22027</v>
      </c>
      <c r="CY27" s="111"/>
      <c r="CZ27" s="155">
        <f>CZ13-CZ25</f>
        <v>62623</v>
      </c>
      <c r="DA27" s="132"/>
      <c r="DB27" s="154">
        <f>DB13-DB25</f>
        <v>-13892</v>
      </c>
      <c r="DC27" s="111"/>
      <c r="DD27" s="155">
        <f>DD13-DD25</f>
        <v>48731</v>
      </c>
      <c r="DE27" s="132"/>
      <c r="DF27" s="131">
        <f>DF13-DF25</f>
        <v>53561</v>
      </c>
      <c r="DG27" s="132"/>
      <c r="DH27" s="154">
        <f>DH13-DH25</f>
        <v>5261</v>
      </c>
      <c r="DI27" s="111"/>
      <c r="DJ27" s="155">
        <f>DJ13-DJ25</f>
        <v>58822</v>
      </c>
      <c r="DK27" s="132"/>
      <c r="DL27" s="154">
        <f>DL13-DL25</f>
        <v>-359752</v>
      </c>
      <c r="DM27" s="111"/>
      <c r="DN27" s="155">
        <f>DN13-DN25</f>
        <v>-300930</v>
      </c>
      <c r="DO27" s="132"/>
      <c r="DP27" s="154">
        <f>DP13-DP25</f>
        <v>-3508</v>
      </c>
      <c r="DQ27" s="111"/>
      <c r="DR27" s="155">
        <f>DR13-DR25</f>
        <v>-304438</v>
      </c>
      <c r="DS27" s="132"/>
      <c r="DT27" s="131">
        <f>DT13-DT25</f>
        <v>64832</v>
      </c>
      <c r="DU27" s="132"/>
      <c r="DV27" s="154">
        <f>DV13-DV25</f>
        <v>55671</v>
      </c>
      <c r="DW27" s="111"/>
      <c r="DX27" s="155">
        <f>DX13-DX25</f>
        <v>120502</v>
      </c>
      <c r="DY27" s="132"/>
      <c r="DZ27" s="154">
        <f>DZ13-DZ25</f>
        <v>34242</v>
      </c>
      <c r="EA27" s="111"/>
      <c r="EB27" s="155">
        <f>EB13-EB25</f>
        <v>154745</v>
      </c>
      <c r="EC27" s="132"/>
      <c r="ED27" s="154">
        <f>ED13-ED25</f>
        <v>2870</v>
      </c>
      <c r="EE27" s="111"/>
      <c r="EF27" s="155">
        <f>EF13-EF25</f>
        <v>157614</v>
      </c>
      <c r="EG27" s="132"/>
      <c r="EH27" s="131">
        <f>EH13-EH25</f>
        <v>64465</v>
      </c>
      <c r="EI27" s="132"/>
      <c r="EJ27" s="154">
        <f>EJ13-EJ25</f>
        <v>30393</v>
      </c>
      <c r="EK27" s="111"/>
      <c r="EL27" s="155">
        <f>EL13-EL25</f>
        <v>94858</v>
      </c>
      <c r="EM27" s="132"/>
      <c r="EN27" s="154">
        <f>EN13-EN25</f>
        <v>20395</v>
      </c>
      <c r="EO27" s="111"/>
      <c r="EP27" s="155">
        <f>EP13-EP25</f>
        <v>115253</v>
      </c>
    </row>
    <row r="28" spans="2:146">
      <c r="B28" s="130"/>
      <c r="C28" s="116"/>
      <c r="D28" s="116"/>
      <c r="E28" s="116"/>
      <c r="F28" s="131"/>
      <c r="G28" s="132"/>
      <c r="H28" s="131"/>
      <c r="I28" s="132"/>
      <c r="J28" s="131"/>
      <c r="K28" s="132"/>
      <c r="L28" s="110"/>
      <c r="M28" s="111"/>
      <c r="N28" s="112"/>
      <c r="O28" s="111"/>
      <c r="P28" s="113"/>
      <c r="Q28" s="111"/>
      <c r="R28" s="112"/>
      <c r="S28" s="111"/>
      <c r="T28" s="113"/>
      <c r="U28" s="111"/>
      <c r="V28" s="112"/>
      <c r="W28" s="111"/>
      <c r="X28" s="113"/>
      <c r="Y28" s="111"/>
      <c r="Z28" s="110"/>
      <c r="AA28" s="111"/>
      <c r="AB28" s="112"/>
      <c r="AC28" s="111"/>
      <c r="AD28" s="113"/>
      <c r="AE28" s="111"/>
      <c r="AF28" s="112"/>
      <c r="AG28" s="111"/>
      <c r="AH28" s="113"/>
      <c r="AI28" s="97"/>
      <c r="AJ28" s="112"/>
      <c r="AK28" s="111"/>
      <c r="AL28" s="113"/>
      <c r="AM28" s="97"/>
      <c r="AN28" s="110"/>
      <c r="AO28" s="97"/>
      <c r="AP28" s="112"/>
      <c r="AQ28" s="111"/>
      <c r="AR28" s="113"/>
      <c r="AS28" s="111"/>
      <c r="AT28" s="112"/>
      <c r="AU28" s="111"/>
      <c r="AV28" s="113"/>
      <c r="AW28" s="97"/>
      <c r="AX28" s="112"/>
      <c r="AY28" s="111"/>
      <c r="AZ28" s="113"/>
      <c r="BA28" s="97"/>
      <c r="BB28" s="110"/>
      <c r="BC28" s="114"/>
      <c r="BD28" s="112"/>
      <c r="BE28" s="111"/>
      <c r="BF28" s="113"/>
      <c r="BG28" s="111"/>
      <c r="BH28" s="112"/>
      <c r="BI28" s="111"/>
      <c r="BJ28" s="113"/>
      <c r="BK28" s="97"/>
      <c r="BL28" s="112"/>
      <c r="BM28" s="111"/>
      <c r="BN28" s="113"/>
      <c r="BO28" s="97"/>
      <c r="BP28" s="110"/>
      <c r="BQ28" s="97"/>
      <c r="BR28" s="112"/>
      <c r="BS28" s="111"/>
      <c r="BT28" s="113"/>
      <c r="BU28" s="97"/>
      <c r="BV28" s="112"/>
      <c r="BW28" s="111"/>
      <c r="BX28" s="113"/>
      <c r="BY28" s="97"/>
      <c r="BZ28" s="112"/>
      <c r="CA28" s="111"/>
      <c r="CB28" s="113"/>
      <c r="CC28" s="97"/>
      <c r="CD28" s="110"/>
      <c r="CE28" s="97"/>
      <c r="CF28" s="112"/>
      <c r="CG28" s="111"/>
      <c r="CH28" s="113"/>
      <c r="CI28" s="97"/>
      <c r="CJ28" s="112"/>
      <c r="CK28" s="111"/>
      <c r="CL28" s="113"/>
      <c r="CM28" s="97"/>
      <c r="CN28" s="112"/>
      <c r="CO28" s="111"/>
      <c r="CP28" s="113"/>
      <c r="CQ28" s="97"/>
      <c r="CR28" s="110"/>
      <c r="CS28" s="97"/>
      <c r="CT28" s="112"/>
      <c r="CU28" s="111"/>
      <c r="CV28" s="113"/>
      <c r="CW28" s="97"/>
      <c r="CX28" s="112"/>
      <c r="CY28" s="111"/>
      <c r="CZ28" s="113"/>
      <c r="DA28" s="97"/>
      <c r="DB28" s="112"/>
      <c r="DC28" s="111"/>
      <c r="DD28" s="113"/>
      <c r="DE28" s="97"/>
      <c r="DF28" s="110"/>
      <c r="DG28" s="97"/>
      <c r="DH28" s="112"/>
      <c r="DI28" s="111"/>
      <c r="DJ28" s="113"/>
      <c r="DK28" s="97"/>
      <c r="DL28" s="112"/>
      <c r="DM28" s="111"/>
      <c r="DN28" s="113"/>
      <c r="DO28" s="97"/>
      <c r="DP28" s="112"/>
      <c r="DQ28" s="111"/>
      <c r="DR28" s="113"/>
      <c r="DS28" s="97"/>
      <c r="DT28" s="110"/>
      <c r="DU28" s="97"/>
      <c r="DV28" s="112"/>
      <c r="DW28" s="111"/>
      <c r="DX28" s="113"/>
      <c r="DY28" s="97"/>
      <c r="DZ28" s="112"/>
      <c r="EA28" s="111"/>
      <c r="EB28" s="113"/>
      <c r="EC28" s="97"/>
      <c r="ED28" s="112"/>
      <c r="EE28" s="111"/>
      <c r="EF28" s="113"/>
      <c r="EG28" s="97"/>
      <c r="EH28" s="110"/>
      <c r="EI28" s="97"/>
      <c r="EJ28" s="112"/>
      <c r="EK28" s="111"/>
      <c r="EL28" s="113"/>
      <c r="EM28" s="97"/>
      <c r="EN28" s="112"/>
      <c r="EO28" s="111"/>
      <c r="EP28" s="113"/>
    </row>
    <row r="29" spans="2:146">
      <c r="B29" s="106" t="s">
        <v>78</v>
      </c>
      <c r="C29" s="107"/>
      <c r="D29" s="107"/>
      <c r="E29" s="107"/>
      <c r="F29" s="131"/>
      <c r="G29" s="132"/>
      <c r="H29" s="131"/>
      <c r="I29" s="132"/>
      <c r="J29" s="131"/>
      <c r="K29" s="132"/>
      <c r="L29" s="110"/>
      <c r="M29" s="111"/>
      <c r="N29" s="112"/>
      <c r="O29" s="111"/>
      <c r="P29" s="113"/>
      <c r="Q29" s="111"/>
      <c r="R29" s="112"/>
      <c r="S29" s="111"/>
      <c r="T29" s="113"/>
      <c r="U29" s="111"/>
      <c r="V29" s="112"/>
      <c r="W29" s="111"/>
      <c r="X29" s="113"/>
      <c r="Y29" s="111"/>
      <c r="Z29" s="110"/>
      <c r="AA29" s="111"/>
      <c r="AB29" s="112"/>
      <c r="AC29" s="111"/>
      <c r="AD29" s="113"/>
      <c r="AE29" s="111"/>
      <c r="AF29" s="112"/>
      <c r="AG29" s="111"/>
      <c r="AH29" s="113"/>
      <c r="AI29" s="97"/>
      <c r="AJ29" s="112"/>
      <c r="AK29" s="111"/>
      <c r="AL29" s="113"/>
      <c r="AM29" s="97"/>
      <c r="AN29" s="110"/>
      <c r="AO29" s="97"/>
      <c r="AP29" s="112"/>
      <c r="AQ29" s="111"/>
      <c r="AR29" s="113"/>
      <c r="AS29" s="111"/>
      <c r="AT29" s="112"/>
      <c r="AU29" s="111"/>
      <c r="AV29" s="113"/>
      <c r="AW29" s="97"/>
      <c r="AX29" s="112"/>
      <c r="AY29" s="111"/>
      <c r="AZ29" s="113"/>
      <c r="BA29" s="97"/>
      <c r="BB29" s="110"/>
      <c r="BC29" s="114"/>
      <c r="BD29" s="112"/>
      <c r="BE29" s="111"/>
      <c r="BF29" s="113"/>
      <c r="BG29" s="111"/>
      <c r="BH29" s="112"/>
      <c r="BI29" s="111"/>
      <c r="BJ29" s="113"/>
      <c r="BK29" s="97"/>
      <c r="BL29" s="112"/>
      <c r="BM29" s="111"/>
      <c r="BN29" s="113"/>
      <c r="BO29" s="97"/>
      <c r="BP29" s="110"/>
      <c r="BQ29" s="97"/>
      <c r="BR29" s="112"/>
      <c r="BS29" s="111"/>
      <c r="BT29" s="113"/>
      <c r="BU29" s="97"/>
      <c r="BV29" s="112"/>
      <c r="BW29" s="111"/>
      <c r="BX29" s="113"/>
      <c r="BY29" s="97"/>
      <c r="BZ29" s="112"/>
      <c r="CA29" s="111"/>
      <c r="CB29" s="113"/>
      <c r="CC29" s="97"/>
      <c r="CD29" s="110"/>
      <c r="CE29" s="97"/>
      <c r="CF29" s="112"/>
      <c r="CG29" s="111"/>
      <c r="CH29" s="113"/>
      <c r="CI29" s="97"/>
      <c r="CJ29" s="112"/>
      <c r="CK29" s="111"/>
      <c r="CL29" s="113"/>
      <c r="CM29" s="97"/>
      <c r="CN29" s="112"/>
      <c r="CO29" s="111"/>
      <c r="CP29" s="113"/>
      <c r="CQ29" s="97"/>
      <c r="CR29" s="110"/>
      <c r="CS29" s="97"/>
      <c r="CT29" s="112"/>
      <c r="CU29" s="111"/>
      <c r="CV29" s="113"/>
      <c r="CW29" s="97"/>
      <c r="CX29" s="112"/>
      <c r="CY29" s="111"/>
      <c r="CZ29" s="113"/>
      <c r="DA29" s="97"/>
      <c r="DB29" s="112"/>
      <c r="DC29" s="111"/>
      <c r="DD29" s="113"/>
      <c r="DE29" s="97"/>
      <c r="DF29" s="110"/>
      <c r="DG29" s="97"/>
      <c r="DH29" s="112"/>
      <c r="DI29" s="111"/>
      <c r="DJ29" s="113"/>
      <c r="DK29" s="97"/>
      <c r="DL29" s="112"/>
      <c r="DM29" s="111"/>
      <c r="DN29" s="113"/>
      <c r="DO29" s="97"/>
      <c r="DP29" s="112"/>
      <c r="DQ29" s="111"/>
      <c r="DR29" s="113"/>
      <c r="DS29" s="97"/>
      <c r="DT29" s="110"/>
      <c r="DU29" s="97"/>
      <c r="DV29" s="112"/>
      <c r="DW29" s="111"/>
      <c r="DX29" s="113"/>
      <c r="DY29" s="97"/>
      <c r="DZ29" s="112"/>
      <c r="EA29" s="111"/>
      <c r="EB29" s="113"/>
      <c r="EC29" s="97"/>
      <c r="ED29" s="112"/>
      <c r="EE29" s="111"/>
      <c r="EF29" s="113"/>
      <c r="EG29" s="97"/>
      <c r="EH29" s="110"/>
      <c r="EI29" s="97"/>
      <c r="EJ29" s="112"/>
      <c r="EK29" s="111"/>
      <c r="EL29" s="113"/>
      <c r="EM29" s="97"/>
      <c r="EN29" s="112"/>
      <c r="EO29" s="111"/>
      <c r="EP29" s="113"/>
    </row>
    <row r="30" spans="2:146">
      <c r="B30" s="130"/>
      <c r="C30" s="116" t="s">
        <v>42</v>
      </c>
      <c r="D30" s="116"/>
      <c r="E30" s="116"/>
      <c r="F30" s="131">
        <v>90033</v>
      </c>
      <c r="G30" s="132"/>
      <c r="H30" s="131">
        <v>91981</v>
      </c>
      <c r="I30" s="132"/>
      <c r="J30" s="131">
        <v>96800</v>
      </c>
      <c r="K30" s="132"/>
      <c r="L30" s="110">
        <v>24694</v>
      </c>
      <c r="M30" s="111"/>
      <c r="N30" s="135">
        <f t="shared" ref="N30:N34" si="18">P30-L30</f>
        <v>25753</v>
      </c>
      <c r="O30" s="111"/>
      <c r="P30" s="113">
        <v>50447</v>
      </c>
      <c r="Q30" s="111"/>
      <c r="R30" s="135">
        <f t="shared" ref="R30:R34" si="19">T30-P30</f>
        <v>23971</v>
      </c>
      <c r="S30" s="111"/>
      <c r="T30" s="113">
        <v>74418</v>
      </c>
      <c r="U30" s="111"/>
      <c r="V30" s="135">
        <f t="shared" ref="V30:V34" si="20">X30-T30</f>
        <v>22900</v>
      </c>
      <c r="W30" s="111"/>
      <c r="X30" s="113">
        <v>97318</v>
      </c>
      <c r="Y30" s="111"/>
      <c r="Z30" s="110">
        <v>20891</v>
      </c>
      <c r="AA30" s="111"/>
      <c r="AB30" s="135">
        <f t="shared" ref="AB30:AB34" si="21">AD30-Z30</f>
        <v>22469</v>
      </c>
      <c r="AC30" s="111"/>
      <c r="AD30" s="113">
        <v>43360</v>
      </c>
      <c r="AE30" s="111"/>
      <c r="AF30" s="135">
        <f t="shared" ref="AF30:AF34" si="22">AH30-AD30</f>
        <v>21929</v>
      </c>
      <c r="AG30" s="111"/>
      <c r="AH30" s="113">
        <v>65289</v>
      </c>
      <c r="AI30" s="97"/>
      <c r="AJ30" s="135">
        <f t="shared" ref="AJ30:AJ34" si="23">AL30-AH30</f>
        <v>18277</v>
      </c>
      <c r="AK30" s="111"/>
      <c r="AL30" s="113">
        <v>83566</v>
      </c>
      <c r="AM30" s="97"/>
      <c r="AN30" s="110">
        <v>21614</v>
      </c>
      <c r="AO30" s="97"/>
      <c r="AP30" s="135">
        <f t="shared" ref="AP30:AP34" si="24">AR30-AN30</f>
        <v>25154</v>
      </c>
      <c r="AQ30" s="111"/>
      <c r="AR30" s="113">
        <v>46768</v>
      </c>
      <c r="AS30" s="111"/>
      <c r="AT30" s="135">
        <f t="shared" ref="AT30:AT34" si="25">AV30-AR30</f>
        <v>24816</v>
      </c>
      <c r="AU30" s="111"/>
      <c r="AV30" s="113">
        <v>71584</v>
      </c>
      <c r="AW30" s="97"/>
      <c r="AX30" s="135">
        <f t="shared" ref="AX30:AX34" si="26">AZ30-AV30</f>
        <v>18780</v>
      </c>
      <c r="AY30" s="111"/>
      <c r="AZ30" s="113">
        <v>90364</v>
      </c>
      <c r="BA30" s="97"/>
      <c r="BB30" s="110">
        <v>26835</v>
      </c>
      <c r="BC30" s="114"/>
      <c r="BD30" s="135">
        <f t="shared" ref="BD30:BD34" si="27">BF30-BB30</f>
        <v>35602</v>
      </c>
      <c r="BE30" s="111"/>
      <c r="BF30" s="113">
        <v>62437</v>
      </c>
      <c r="BG30" s="111"/>
      <c r="BH30" s="135">
        <f t="shared" ref="BH30:BH34" si="28">BJ30-BF30</f>
        <v>37360</v>
      </c>
      <c r="BI30" s="111"/>
      <c r="BJ30" s="113">
        <v>99797</v>
      </c>
      <c r="BK30" s="97"/>
      <c r="BL30" s="135">
        <f t="shared" ref="BL30:BL34" si="29">BN30-BJ30</f>
        <v>32152</v>
      </c>
      <c r="BM30" s="111"/>
      <c r="BN30" s="113">
        <v>131949</v>
      </c>
      <c r="BO30" s="97"/>
      <c r="BP30" s="110">
        <v>37075</v>
      </c>
      <c r="BQ30" s="97"/>
      <c r="BR30" s="135">
        <f t="shared" ref="BR30:BR34" si="30">BT30-BP30</f>
        <v>33120</v>
      </c>
      <c r="BS30" s="111"/>
      <c r="BT30" s="113">
        <v>70195</v>
      </c>
      <c r="BU30" s="97"/>
      <c r="BV30" s="135">
        <f t="shared" ref="BV30:BV34" si="31">BX30-BT30</f>
        <v>35971</v>
      </c>
      <c r="BW30" s="111"/>
      <c r="BX30" s="113">
        <v>106166</v>
      </c>
      <c r="BY30" s="97"/>
      <c r="BZ30" s="135">
        <f t="shared" ref="BZ30:BZ34" si="32">CB30-BX30</f>
        <v>23598</v>
      </c>
      <c r="CA30" s="111"/>
      <c r="CB30" s="113">
        <v>129764</v>
      </c>
      <c r="CC30" s="97"/>
      <c r="CD30" s="110">
        <v>34471</v>
      </c>
      <c r="CE30" s="97"/>
      <c r="CF30" s="135">
        <f t="shared" ref="CF30:CF34" si="33">CH30-CD30</f>
        <v>35584</v>
      </c>
      <c r="CG30" s="111"/>
      <c r="CH30" s="113">
        <v>70055</v>
      </c>
      <c r="CI30" s="97"/>
      <c r="CJ30" s="135">
        <f t="shared" ref="CJ30:CJ34" si="34">CL30-CH30</f>
        <v>39674</v>
      </c>
      <c r="CK30" s="111"/>
      <c r="CL30" s="113">
        <v>109729</v>
      </c>
      <c r="CM30" s="97"/>
      <c r="CN30" s="135">
        <f t="shared" ref="CN30:CN34" si="35">CP30-CL30</f>
        <v>30354</v>
      </c>
      <c r="CO30" s="111"/>
      <c r="CP30" s="113">
        <v>140083</v>
      </c>
      <c r="CQ30" s="97"/>
      <c r="CR30" s="110">
        <v>35065</v>
      </c>
      <c r="CS30" s="97"/>
      <c r="CT30" s="135">
        <v>36874</v>
      </c>
      <c r="CU30" s="111"/>
      <c r="CV30" s="113">
        <v>71939</v>
      </c>
      <c r="CW30" s="97"/>
      <c r="CX30" s="135">
        <v>37605</v>
      </c>
      <c r="CY30" s="111"/>
      <c r="CZ30" s="113">
        <v>109544</v>
      </c>
      <c r="DA30" s="97"/>
      <c r="DB30" s="135">
        <v>30402</v>
      </c>
      <c r="DC30" s="111"/>
      <c r="DD30" s="113">
        <v>139945</v>
      </c>
      <c r="DE30" s="97"/>
      <c r="DF30" s="110">
        <v>32553</v>
      </c>
      <c r="DG30" s="97"/>
      <c r="DH30" s="135">
        <v>33402</v>
      </c>
      <c r="DI30" s="111"/>
      <c r="DJ30" s="113">
        <v>65955</v>
      </c>
      <c r="DK30" s="97"/>
      <c r="DL30" s="135">
        <v>35156</v>
      </c>
      <c r="DM30" s="111"/>
      <c r="DN30" s="113">
        <v>101111</v>
      </c>
      <c r="DO30" s="97"/>
      <c r="DP30" s="135">
        <v>35653</v>
      </c>
      <c r="DQ30" s="111"/>
      <c r="DR30" s="113">
        <v>136765</v>
      </c>
      <c r="DS30" s="97"/>
      <c r="DT30" s="110">
        <v>37729</v>
      </c>
      <c r="DU30" s="97"/>
      <c r="DV30" s="135">
        <v>39977</v>
      </c>
      <c r="DW30" s="111"/>
      <c r="DX30" s="113">
        <v>77706</v>
      </c>
      <c r="DY30" s="97"/>
      <c r="DZ30" s="135">
        <v>41932</v>
      </c>
      <c r="EA30" s="111"/>
      <c r="EB30" s="113">
        <v>119638</v>
      </c>
      <c r="EC30" s="97"/>
      <c r="ED30" s="135">
        <v>38896</v>
      </c>
      <c r="EE30" s="111"/>
      <c r="EF30" s="113">
        <v>158534</v>
      </c>
      <c r="EG30" s="97"/>
      <c r="EH30" s="110">
        <v>43629</v>
      </c>
      <c r="EI30" s="97"/>
      <c r="EJ30" s="135">
        <v>40207</v>
      </c>
      <c r="EK30" s="111"/>
      <c r="EL30" s="113">
        <v>83836</v>
      </c>
      <c r="EM30" s="97"/>
      <c r="EN30" s="135">
        <v>43964</v>
      </c>
      <c r="EO30" s="111"/>
      <c r="EP30" s="113">
        <v>127800</v>
      </c>
    </row>
    <row r="31" spans="2:146">
      <c r="B31" s="130"/>
      <c r="C31" s="116" t="s">
        <v>43</v>
      </c>
      <c r="D31" s="150"/>
      <c r="E31" s="150"/>
      <c r="F31" s="131">
        <v>13059</v>
      </c>
      <c r="G31" s="132"/>
      <c r="H31" s="131">
        <v>5730</v>
      </c>
      <c r="I31" s="132"/>
      <c r="J31" s="131">
        <v>3597</v>
      </c>
      <c r="K31" s="132"/>
      <c r="L31" s="110">
        <v>1021</v>
      </c>
      <c r="M31" s="111"/>
      <c r="N31" s="135">
        <f t="shared" si="18"/>
        <v>862</v>
      </c>
      <c r="O31" s="111"/>
      <c r="P31" s="113">
        <v>1883</v>
      </c>
      <c r="Q31" s="111"/>
      <c r="R31" s="135">
        <f t="shared" si="19"/>
        <v>1101</v>
      </c>
      <c r="S31" s="111"/>
      <c r="T31" s="113">
        <v>2984</v>
      </c>
      <c r="U31" s="111"/>
      <c r="V31" s="135">
        <f t="shared" si="20"/>
        <v>824</v>
      </c>
      <c r="W31" s="111"/>
      <c r="X31" s="113">
        <v>3808</v>
      </c>
      <c r="Y31" s="111"/>
      <c r="Z31" s="110">
        <v>849</v>
      </c>
      <c r="AA31" s="111"/>
      <c r="AB31" s="135">
        <f t="shared" si="21"/>
        <v>748</v>
      </c>
      <c r="AC31" s="111"/>
      <c r="AD31" s="113">
        <v>1597</v>
      </c>
      <c r="AE31" s="111"/>
      <c r="AF31" s="135">
        <f t="shared" si="22"/>
        <v>869</v>
      </c>
      <c r="AG31" s="111"/>
      <c r="AH31" s="113">
        <v>2466</v>
      </c>
      <c r="AI31" s="97"/>
      <c r="AJ31" s="135">
        <f t="shared" si="23"/>
        <v>929</v>
      </c>
      <c r="AK31" s="111"/>
      <c r="AL31" s="113">
        <v>3395</v>
      </c>
      <c r="AM31" s="97"/>
      <c r="AN31" s="110">
        <v>1043</v>
      </c>
      <c r="AO31" s="97"/>
      <c r="AP31" s="135">
        <f t="shared" si="24"/>
        <v>845</v>
      </c>
      <c r="AQ31" s="111"/>
      <c r="AR31" s="113">
        <v>1888</v>
      </c>
      <c r="AS31" s="111"/>
      <c r="AT31" s="135">
        <f t="shared" si="25"/>
        <v>935</v>
      </c>
      <c r="AU31" s="111"/>
      <c r="AV31" s="113">
        <v>2823</v>
      </c>
      <c r="AW31" s="97"/>
      <c r="AX31" s="135">
        <f t="shared" si="26"/>
        <v>821</v>
      </c>
      <c r="AY31" s="111"/>
      <c r="AZ31" s="113">
        <v>3644</v>
      </c>
      <c r="BA31" s="97"/>
      <c r="BB31" s="110">
        <v>903</v>
      </c>
      <c r="BC31" s="114"/>
      <c r="BD31" s="135">
        <f t="shared" si="27"/>
        <v>969</v>
      </c>
      <c r="BE31" s="111"/>
      <c r="BF31" s="113">
        <v>1872</v>
      </c>
      <c r="BG31" s="111"/>
      <c r="BH31" s="135">
        <f t="shared" si="28"/>
        <v>1095</v>
      </c>
      <c r="BI31" s="111"/>
      <c r="BJ31" s="113">
        <v>2967</v>
      </c>
      <c r="BK31" s="97"/>
      <c r="BL31" s="135">
        <f t="shared" si="29"/>
        <v>994</v>
      </c>
      <c r="BM31" s="111"/>
      <c r="BN31" s="113">
        <v>3961</v>
      </c>
      <c r="BO31" s="97"/>
      <c r="BP31" s="110">
        <v>884</v>
      </c>
      <c r="BQ31" s="97"/>
      <c r="BR31" s="135">
        <f t="shared" si="30"/>
        <v>1046</v>
      </c>
      <c r="BS31" s="111"/>
      <c r="BT31" s="113">
        <f>2457-527</f>
        <v>1930</v>
      </c>
      <c r="BU31" s="97"/>
      <c r="BV31" s="135">
        <f t="shared" si="31"/>
        <v>1197</v>
      </c>
      <c r="BW31" s="111"/>
      <c r="BX31" s="113">
        <f>6029-2902</f>
        <v>3127</v>
      </c>
      <c r="BY31" s="97"/>
      <c r="BZ31" s="135">
        <f t="shared" si="32"/>
        <v>303</v>
      </c>
      <c r="CA31" s="111"/>
      <c r="CB31" s="113">
        <f>12148-8718</f>
        <v>3430</v>
      </c>
      <c r="CC31" s="97"/>
      <c r="CD31" s="110">
        <f>7566-6722</f>
        <v>844</v>
      </c>
      <c r="CE31" s="97"/>
      <c r="CF31" s="135">
        <f t="shared" si="33"/>
        <v>1258</v>
      </c>
      <c r="CG31" s="111"/>
      <c r="CH31" s="113">
        <f>16535-14433</f>
        <v>2102</v>
      </c>
      <c r="CI31" s="97"/>
      <c r="CJ31" s="135">
        <f t="shared" si="34"/>
        <v>-57</v>
      </c>
      <c r="CK31" s="111"/>
      <c r="CL31" s="113">
        <f>25834-23789</f>
        <v>2045</v>
      </c>
      <c r="CM31" s="97"/>
      <c r="CN31" s="135">
        <f t="shared" si="35"/>
        <v>428</v>
      </c>
      <c r="CO31" s="111"/>
      <c r="CP31" s="113">
        <f>36332-33859</f>
        <v>2473</v>
      </c>
      <c r="CQ31" s="97"/>
      <c r="CR31" s="110">
        <f>13264-11358</f>
        <v>1906</v>
      </c>
      <c r="CS31" s="97"/>
      <c r="CT31" s="135">
        <f>13630-12222</f>
        <v>1408</v>
      </c>
      <c r="CU31" s="111"/>
      <c r="CV31" s="113">
        <f>26894-23580</f>
        <v>3314</v>
      </c>
      <c r="CW31" s="97"/>
      <c r="CX31" s="135">
        <f>14068-13006</f>
        <v>1062</v>
      </c>
      <c r="CY31" s="111"/>
      <c r="CZ31" s="113">
        <f>40963-36586</f>
        <v>4377</v>
      </c>
      <c r="DA31" s="97"/>
      <c r="DB31" s="135">
        <f>16107-14748</f>
        <v>1359</v>
      </c>
      <c r="DC31" s="111"/>
      <c r="DD31" s="113">
        <f>57069-51334</f>
        <v>5735</v>
      </c>
      <c r="DE31" s="97"/>
      <c r="DF31" s="110">
        <v>2746</v>
      </c>
      <c r="DG31" s="97"/>
      <c r="DH31" s="135">
        <v>1821</v>
      </c>
      <c r="DI31" s="111"/>
      <c r="DJ31" s="113">
        <v>4567</v>
      </c>
      <c r="DK31" s="97"/>
      <c r="DL31" s="135">
        <v>1787</v>
      </c>
      <c r="DM31" s="111"/>
      <c r="DN31" s="113">
        <v>6354</v>
      </c>
      <c r="DO31" s="97"/>
      <c r="DP31" s="135">
        <v>1660</v>
      </c>
      <c r="DQ31" s="111"/>
      <c r="DR31" s="113">
        <v>8013</v>
      </c>
      <c r="DS31" s="97"/>
      <c r="DT31" s="110">
        <v>3635</v>
      </c>
      <c r="DU31" s="97"/>
      <c r="DV31" s="135">
        <v>2972</v>
      </c>
      <c r="DW31" s="111"/>
      <c r="DX31" s="113">
        <v>6607</v>
      </c>
      <c r="DY31" s="97"/>
      <c r="DZ31" s="135">
        <v>3596</v>
      </c>
      <c r="EA31" s="111"/>
      <c r="EB31" s="113">
        <v>10203</v>
      </c>
      <c r="EC31" s="97"/>
      <c r="ED31" s="135">
        <v>4426</v>
      </c>
      <c r="EE31" s="111"/>
      <c r="EF31" s="113">
        <v>14629</v>
      </c>
      <c r="EG31" s="97"/>
      <c r="EH31" s="110">
        <v>5763</v>
      </c>
      <c r="EI31" s="97"/>
      <c r="EJ31" s="135">
        <v>4830</v>
      </c>
      <c r="EK31" s="111"/>
      <c r="EL31" s="113">
        <v>10593</v>
      </c>
      <c r="EM31" s="97"/>
      <c r="EN31" s="135">
        <v>3733</v>
      </c>
      <c r="EO31" s="111"/>
      <c r="EP31" s="113">
        <v>14326</v>
      </c>
    </row>
    <row r="32" spans="2:146">
      <c r="B32" s="130"/>
      <c r="C32" s="130" t="s">
        <v>79</v>
      </c>
      <c r="D32" s="150"/>
      <c r="E32" s="150"/>
      <c r="F32" s="131">
        <v>132599</v>
      </c>
      <c r="G32" s="132"/>
      <c r="H32" s="131">
        <v>16628</v>
      </c>
      <c r="I32" s="132"/>
      <c r="J32" s="131">
        <v>0</v>
      </c>
      <c r="K32" s="132"/>
      <c r="L32" s="131">
        <v>0</v>
      </c>
      <c r="M32" s="132"/>
      <c r="N32" s="135">
        <f t="shared" si="18"/>
        <v>0</v>
      </c>
      <c r="O32" s="132"/>
      <c r="P32" s="155">
        <v>0</v>
      </c>
      <c r="Q32" s="132"/>
      <c r="R32" s="135">
        <f t="shared" si="19"/>
        <v>0</v>
      </c>
      <c r="S32" s="132"/>
      <c r="T32" s="155">
        <v>0</v>
      </c>
      <c r="U32" s="132"/>
      <c r="V32" s="135">
        <f t="shared" si="20"/>
        <v>0</v>
      </c>
      <c r="W32" s="132"/>
      <c r="X32" s="155">
        <v>0</v>
      </c>
      <c r="Y32" s="132"/>
      <c r="Z32" s="131">
        <v>0</v>
      </c>
      <c r="AA32" s="132"/>
      <c r="AB32" s="135">
        <f t="shared" si="21"/>
        <v>13373</v>
      </c>
      <c r="AC32" s="132"/>
      <c r="AD32" s="155">
        <v>13373</v>
      </c>
      <c r="AE32" s="132"/>
      <c r="AF32" s="135">
        <f t="shared" si="22"/>
        <v>0</v>
      </c>
      <c r="AG32" s="132"/>
      <c r="AH32" s="155">
        <v>13373</v>
      </c>
      <c r="AI32" s="97"/>
      <c r="AJ32" s="135">
        <f t="shared" si="23"/>
        <v>-2000</v>
      </c>
      <c r="AK32" s="132"/>
      <c r="AL32" s="155">
        <v>11373</v>
      </c>
      <c r="AM32" s="97"/>
      <c r="AN32" s="131">
        <v>0</v>
      </c>
      <c r="AO32" s="97"/>
      <c r="AP32" s="135">
        <f t="shared" si="24"/>
        <v>-3728</v>
      </c>
      <c r="AQ32" s="132"/>
      <c r="AR32" s="155">
        <v>-3728</v>
      </c>
      <c r="AS32" s="132"/>
      <c r="AT32" s="135">
        <f t="shared" si="25"/>
        <v>0</v>
      </c>
      <c r="AU32" s="132"/>
      <c r="AV32" s="155">
        <v>-3728</v>
      </c>
      <c r="AW32" s="97"/>
      <c r="AX32" s="135">
        <f t="shared" si="26"/>
        <v>10</v>
      </c>
      <c r="AY32" s="132"/>
      <c r="AZ32" s="155">
        <v>-3718</v>
      </c>
      <c r="BA32" s="97"/>
      <c r="BB32" s="156">
        <v>0</v>
      </c>
      <c r="BC32" s="114"/>
      <c r="BD32" s="135">
        <f t="shared" si="27"/>
        <v>18527</v>
      </c>
      <c r="BE32" s="157"/>
      <c r="BF32" s="158">
        <v>18527</v>
      </c>
      <c r="BG32" s="157"/>
      <c r="BH32" s="135">
        <f t="shared" si="28"/>
        <v>0</v>
      </c>
      <c r="BI32" s="157"/>
      <c r="BJ32" s="158">
        <v>18527</v>
      </c>
      <c r="BK32" s="97"/>
      <c r="BL32" s="135">
        <f t="shared" si="29"/>
        <v>29</v>
      </c>
      <c r="BM32" s="157"/>
      <c r="BN32" s="158">
        <v>18556</v>
      </c>
      <c r="BO32" s="97"/>
      <c r="BP32" s="156">
        <v>0</v>
      </c>
      <c r="BQ32" s="97"/>
      <c r="BR32" s="135">
        <f t="shared" si="30"/>
        <v>0</v>
      </c>
      <c r="BS32" s="157"/>
      <c r="BT32" s="158">
        <v>0</v>
      </c>
      <c r="BU32" s="97"/>
      <c r="BV32" s="135">
        <f t="shared" si="31"/>
        <v>0</v>
      </c>
      <c r="BW32" s="157"/>
      <c r="BX32" s="158">
        <v>0</v>
      </c>
      <c r="BY32" s="97"/>
      <c r="BZ32" s="135">
        <f t="shared" si="32"/>
        <v>0</v>
      </c>
      <c r="CA32" s="157"/>
      <c r="CB32" s="158">
        <v>0</v>
      </c>
      <c r="CC32" s="97"/>
      <c r="CD32" s="156">
        <v>0</v>
      </c>
      <c r="CE32" s="97"/>
      <c r="CF32" s="135">
        <f t="shared" si="33"/>
        <v>0</v>
      </c>
      <c r="CG32" s="157"/>
      <c r="CH32" s="158">
        <v>0</v>
      </c>
      <c r="CI32" s="97"/>
      <c r="CJ32" s="135">
        <f t="shared" si="34"/>
        <v>0</v>
      </c>
      <c r="CK32" s="157"/>
      <c r="CL32" s="158">
        <v>0</v>
      </c>
      <c r="CM32" s="97"/>
      <c r="CN32" s="135">
        <f t="shared" si="35"/>
        <v>0</v>
      </c>
      <c r="CO32" s="157"/>
      <c r="CP32" s="158">
        <v>0</v>
      </c>
      <c r="CQ32" s="97"/>
      <c r="CR32" s="156">
        <v>0</v>
      </c>
      <c r="CS32" s="97"/>
      <c r="CT32" s="135">
        <v>0</v>
      </c>
      <c r="CU32" s="157"/>
      <c r="CV32" s="158">
        <v>0</v>
      </c>
      <c r="CW32" s="97"/>
      <c r="CX32" s="135">
        <v>0</v>
      </c>
      <c r="CY32" s="157"/>
      <c r="CZ32" s="158">
        <v>0</v>
      </c>
      <c r="DA32" s="97"/>
      <c r="DB32" s="135">
        <v>0</v>
      </c>
      <c r="DC32" s="157"/>
      <c r="DD32" s="158">
        <v>0</v>
      </c>
      <c r="DE32" s="97"/>
      <c r="DF32" s="156">
        <v>0</v>
      </c>
      <c r="DG32" s="97"/>
      <c r="DH32" s="135">
        <v>0</v>
      </c>
      <c r="DI32" s="157"/>
      <c r="DJ32" s="158">
        <v>0</v>
      </c>
      <c r="DK32" s="97"/>
      <c r="DL32" s="135">
        <v>0</v>
      </c>
      <c r="DM32" s="157"/>
      <c r="DN32" s="158">
        <v>0</v>
      </c>
      <c r="DO32" s="97"/>
      <c r="DP32" s="135">
        <v>0</v>
      </c>
      <c r="DQ32" s="157"/>
      <c r="DR32" s="158">
        <v>0</v>
      </c>
      <c r="DS32" s="97"/>
      <c r="DT32" s="156">
        <v>0</v>
      </c>
      <c r="DU32" s="97"/>
      <c r="DV32" s="135">
        <v>0</v>
      </c>
      <c r="DW32" s="157"/>
      <c r="DX32" s="158">
        <v>0</v>
      </c>
      <c r="DY32" s="97"/>
      <c r="DZ32" s="135">
        <v>0</v>
      </c>
      <c r="EA32" s="157"/>
      <c r="EB32" s="158">
        <v>0</v>
      </c>
      <c r="EC32" s="97"/>
      <c r="ED32" s="135">
        <v>0</v>
      </c>
      <c r="EE32" s="157"/>
      <c r="EF32" s="158">
        <v>0</v>
      </c>
      <c r="EG32" s="97"/>
      <c r="EH32" s="156">
        <v>0</v>
      </c>
      <c r="EI32" s="97"/>
      <c r="EJ32" s="135">
        <v>0</v>
      </c>
      <c r="EK32" s="157"/>
      <c r="EL32" s="158">
        <v>0</v>
      </c>
      <c r="EM32" s="97"/>
      <c r="EN32" s="135">
        <v>0</v>
      </c>
      <c r="EO32" s="157"/>
      <c r="EP32" s="158">
        <v>0</v>
      </c>
    </row>
    <row r="33" spans="2:146">
      <c r="B33" s="130"/>
      <c r="C33" s="159" t="s">
        <v>45</v>
      </c>
      <c r="D33" s="116"/>
      <c r="E33" s="116"/>
      <c r="F33" s="131">
        <v>-85408</v>
      </c>
      <c r="G33" s="132"/>
      <c r="H33" s="131">
        <v>-78535</v>
      </c>
      <c r="I33" s="132"/>
      <c r="J33" s="131">
        <v>-78199</v>
      </c>
      <c r="K33" s="132"/>
      <c r="L33" s="110">
        <v>-16524</v>
      </c>
      <c r="M33" s="111"/>
      <c r="N33" s="135">
        <f t="shared" si="18"/>
        <v>-16438</v>
      </c>
      <c r="O33" s="111"/>
      <c r="P33" s="113">
        <v>-32962</v>
      </c>
      <c r="Q33" s="111"/>
      <c r="R33" s="135">
        <f t="shared" si="19"/>
        <v>-15956</v>
      </c>
      <c r="S33" s="111"/>
      <c r="T33" s="113">
        <v>-48918</v>
      </c>
      <c r="U33" s="111"/>
      <c r="V33" s="135">
        <f t="shared" si="20"/>
        <v>-12637</v>
      </c>
      <c r="W33" s="111"/>
      <c r="X33" s="113">
        <v>-61555</v>
      </c>
      <c r="Y33" s="111"/>
      <c r="Z33" s="110">
        <v>-15186</v>
      </c>
      <c r="AA33" s="111"/>
      <c r="AB33" s="135">
        <f t="shared" si="21"/>
        <v>-25197</v>
      </c>
      <c r="AC33" s="111"/>
      <c r="AD33" s="113">
        <v>-40383</v>
      </c>
      <c r="AE33" s="111"/>
      <c r="AF33" s="135">
        <f t="shared" si="22"/>
        <v>-11522</v>
      </c>
      <c r="AG33" s="111"/>
      <c r="AH33" s="113">
        <v>-51905</v>
      </c>
      <c r="AI33" s="97"/>
      <c r="AJ33" s="135">
        <f t="shared" si="23"/>
        <v>-13709</v>
      </c>
      <c r="AK33" s="111"/>
      <c r="AL33" s="113">
        <v>-65614</v>
      </c>
      <c r="AM33" s="97"/>
      <c r="AN33" s="110">
        <v>-13411</v>
      </c>
      <c r="AO33" s="97"/>
      <c r="AP33" s="135">
        <f t="shared" si="24"/>
        <v>-12360</v>
      </c>
      <c r="AQ33" s="111"/>
      <c r="AR33" s="113">
        <v>-25771</v>
      </c>
      <c r="AS33" s="111"/>
      <c r="AT33" s="135">
        <f t="shared" si="25"/>
        <v>-9501</v>
      </c>
      <c r="AU33" s="111"/>
      <c r="AV33" s="113">
        <v>-35272</v>
      </c>
      <c r="AW33" s="97"/>
      <c r="AX33" s="135">
        <f t="shared" si="26"/>
        <v>-7121</v>
      </c>
      <c r="AY33" s="111"/>
      <c r="AZ33" s="113">
        <v>-42393</v>
      </c>
      <c r="BA33" s="97"/>
      <c r="BB33" s="110">
        <v>-10910</v>
      </c>
      <c r="BC33" s="114"/>
      <c r="BD33" s="135">
        <f t="shared" si="27"/>
        <v>-10154</v>
      </c>
      <c r="BE33" s="111"/>
      <c r="BF33" s="113">
        <v>-21064</v>
      </c>
      <c r="BG33" s="111"/>
      <c r="BH33" s="135">
        <f t="shared" si="28"/>
        <v>-11329</v>
      </c>
      <c r="BI33" s="111"/>
      <c r="BJ33" s="113">
        <v>-32393</v>
      </c>
      <c r="BK33" s="97"/>
      <c r="BL33" s="135">
        <f t="shared" si="29"/>
        <v>-11570</v>
      </c>
      <c r="BM33" s="111"/>
      <c r="BN33" s="113">
        <v>-43963</v>
      </c>
      <c r="BO33" s="97"/>
      <c r="BP33" s="110">
        <v>-14862</v>
      </c>
      <c r="BQ33" s="97"/>
      <c r="BR33" s="135">
        <f t="shared" si="30"/>
        <v>-14336</v>
      </c>
      <c r="BS33" s="111"/>
      <c r="BT33" s="113">
        <v>-29198</v>
      </c>
      <c r="BU33" s="97"/>
      <c r="BV33" s="135">
        <f t="shared" si="31"/>
        <v>-13514</v>
      </c>
      <c r="BW33" s="111"/>
      <c r="BX33" s="113">
        <v>-42712</v>
      </c>
      <c r="BY33" s="97"/>
      <c r="BZ33" s="135">
        <f t="shared" si="32"/>
        <v>-14674</v>
      </c>
      <c r="CA33" s="111"/>
      <c r="CB33" s="113">
        <v>-57386</v>
      </c>
      <c r="CC33" s="97"/>
      <c r="CD33" s="110">
        <v>-19964</v>
      </c>
      <c r="CE33" s="97"/>
      <c r="CF33" s="135">
        <f t="shared" si="33"/>
        <v>-20154</v>
      </c>
      <c r="CG33" s="111"/>
      <c r="CH33" s="113">
        <v>-40118</v>
      </c>
      <c r="CI33" s="97"/>
      <c r="CJ33" s="135">
        <f t="shared" si="34"/>
        <v>-21121</v>
      </c>
      <c r="CK33" s="111"/>
      <c r="CL33" s="113">
        <v>-61239</v>
      </c>
      <c r="CM33" s="97"/>
      <c r="CN33" s="135">
        <f t="shared" si="35"/>
        <v>-24955</v>
      </c>
      <c r="CO33" s="111"/>
      <c r="CP33" s="113">
        <v>-86194</v>
      </c>
      <c r="CQ33" s="97"/>
      <c r="CR33" s="110">
        <v>-27830</v>
      </c>
      <c r="CS33" s="97"/>
      <c r="CT33" s="135">
        <v>-28200</v>
      </c>
      <c r="CU33" s="111"/>
      <c r="CV33" s="113">
        <v>-56030</v>
      </c>
      <c r="CW33" s="97"/>
      <c r="CX33" s="135">
        <v>-27829</v>
      </c>
      <c r="CY33" s="111"/>
      <c r="CZ33" s="113">
        <v>-83858</v>
      </c>
      <c r="DA33" s="97"/>
      <c r="DB33" s="135">
        <v>-29223</v>
      </c>
      <c r="DC33" s="111"/>
      <c r="DD33" s="113">
        <v>-113080</v>
      </c>
      <c r="DE33" s="97"/>
      <c r="DF33" s="110">
        <v>-28091</v>
      </c>
      <c r="DG33" s="97"/>
      <c r="DH33" s="135">
        <v>-28356</v>
      </c>
      <c r="DI33" s="111"/>
      <c r="DJ33" s="113">
        <v>-56447</v>
      </c>
      <c r="DK33" s="97"/>
      <c r="DL33" s="135">
        <v>-28440</v>
      </c>
      <c r="DM33" s="111"/>
      <c r="DN33" s="113">
        <v>-84887</v>
      </c>
      <c r="DO33" s="97"/>
      <c r="DP33" s="135">
        <v>-27693</v>
      </c>
      <c r="DQ33" s="111"/>
      <c r="DR33" s="113">
        <v>-112580</v>
      </c>
      <c r="DS33" s="97"/>
      <c r="DT33" s="110">
        <v>-29051</v>
      </c>
      <c r="DU33" s="97"/>
      <c r="DV33" s="135">
        <v>-29025</v>
      </c>
      <c r="DW33" s="111"/>
      <c r="DX33" s="113">
        <v>-58076</v>
      </c>
      <c r="DY33" s="97"/>
      <c r="DZ33" s="135">
        <v>-29003</v>
      </c>
      <c r="EA33" s="111"/>
      <c r="EB33" s="113">
        <v>-87079</v>
      </c>
      <c r="EC33" s="97"/>
      <c r="ED33" s="135">
        <v>-28987</v>
      </c>
      <c r="EE33" s="111"/>
      <c r="EF33" s="113">
        <v>-116066</v>
      </c>
      <c r="EG33" s="97"/>
      <c r="EH33" s="110">
        <v>-29147</v>
      </c>
      <c r="EI33" s="97"/>
      <c r="EJ33" s="135">
        <v>-28817</v>
      </c>
      <c r="EK33" s="111"/>
      <c r="EL33" s="113">
        <v>-57963</v>
      </c>
      <c r="EM33" s="97"/>
      <c r="EN33" s="135">
        <v>-28739</v>
      </c>
      <c r="EO33" s="111"/>
      <c r="EP33" s="113">
        <v>-86703</v>
      </c>
    </row>
    <row r="34" spans="2:146">
      <c r="B34" s="130"/>
      <c r="C34" s="150" t="s">
        <v>46</v>
      </c>
      <c r="D34" s="150"/>
      <c r="E34" s="150"/>
      <c r="F34" s="131">
        <v>-710</v>
      </c>
      <c r="G34" s="132"/>
      <c r="H34" s="131">
        <v>1269</v>
      </c>
      <c r="I34" s="132"/>
      <c r="J34" s="131">
        <v>1442</v>
      </c>
      <c r="K34" s="132"/>
      <c r="L34" s="110">
        <v>-65</v>
      </c>
      <c r="M34" s="111"/>
      <c r="N34" s="135">
        <f t="shared" si="18"/>
        <v>472</v>
      </c>
      <c r="O34" s="111"/>
      <c r="P34" s="113">
        <v>407</v>
      </c>
      <c r="Q34" s="111"/>
      <c r="R34" s="135">
        <f t="shared" si="19"/>
        <v>-620</v>
      </c>
      <c r="S34" s="111"/>
      <c r="T34" s="113">
        <v>-213</v>
      </c>
      <c r="U34" s="111"/>
      <c r="V34" s="135">
        <f t="shared" si="20"/>
        <v>285</v>
      </c>
      <c r="W34" s="111"/>
      <c r="X34" s="113">
        <v>72</v>
      </c>
      <c r="Y34" s="111"/>
      <c r="Z34" s="110">
        <v>-125</v>
      </c>
      <c r="AA34" s="111"/>
      <c r="AB34" s="135">
        <f t="shared" si="21"/>
        <v>175</v>
      </c>
      <c r="AC34" s="111"/>
      <c r="AD34" s="113">
        <v>50</v>
      </c>
      <c r="AE34" s="111"/>
      <c r="AF34" s="135">
        <f t="shared" si="22"/>
        <v>-97</v>
      </c>
      <c r="AG34" s="111"/>
      <c r="AH34" s="113">
        <v>-47</v>
      </c>
      <c r="AI34" s="97"/>
      <c r="AJ34" s="135">
        <f t="shared" si="23"/>
        <v>-631</v>
      </c>
      <c r="AK34" s="111"/>
      <c r="AL34" s="113">
        <v>-678</v>
      </c>
      <c r="AM34" s="97"/>
      <c r="AN34" s="110">
        <v>202</v>
      </c>
      <c r="AO34" s="97"/>
      <c r="AP34" s="135">
        <f t="shared" si="24"/>
        <v>-229</v>
      </c>
      <c r="AQ34" s="111"/>
      <c r="AR34" s="113">
        <v>-27</v>
      </c>
      <c r="AS34" s="111"/>
      <c r="AT34" s="135">
        <f t="shared" si="25"/>
        <v>200</v>
      </c>
      <c r="AU34" s="111"/>
      <c r="AV34" s="113">
        <v>173</v>
      </c>
      <c r="AW34" s="97"/>
      <c r="AX34" s="135">
        <f t="shared" si="26"/>
        <v>327</v>
      </c>
      <c r="AY34" s="111"/>
      <c r="AZ34" s="113">
        <v>500</v>
      </c>
      <c r="BA34" s="97"/>
      <c r="BB34" s="110">
        <v>-215</v>
      </c>
      <c r="BC34" s="114"/>
      <c r="BD34" s="135">
        <f t="shared" si="27"/>
        <v>321</v>
      </c>
      <c r="BE34" s="111"/>
      <c r="BF34" s="113">
        <v>106</v>
      </c>
      <c r="BG34" s="111"/>
      <c r="BH34" s="135">
        <f t="shared" si="28"/>
        <v>47</v>
      </c>
      <c r="BI34" s="111"/>
      <c r="BJ34" s="113">
        <v>153</v>
      </c>
      <c r="BK34" s="97"/>
      <c r="BL34" s="135">
        <f t="shared" si="29"/>
        <v>135</v>
      </c>
      <c r="BM34" s="111"/>
      <c r="BN34" s="113">
        <v>288</v>
      </c>
      <c r="BO34" s="97"/>
      <c r="BP34" s="110">
        <v>86</v>
      </c>
      <c r="BQ34" s="97"/>
      <c r="BR34" s="135">
        <f t="shared" si="30"/>
        <v>100</v>
      </c>
      <c r="BS34" s="111"/>
      <c r="BT34" s="113">
        <v>186</v>
      </c>
      <c r="BU34" s="97"/>
      <c r="BV34" s="135">
        <f t="shared" si="31"/>
        <v>95</v>
      </c>
      <c r="BW34" s="111"/>
      <c r="BX34" s="113">
        <v>281</v>
      </c>
      <c r="BY34" s="97"/>
      <c r="BZ34" s="135">
        <f t="shared" si="32"/>
        <v>-121</v>
      </c>
      <c r="CA34" s="111"/>
      <c r="CB34" s="113">
        <v>160</v>
      </c>
      <c r="CC34" s="97"/>
      <c r="CD34" s="110">
        <v>105</v>
      </c>
      <c r="CE34" s="97"/>
      <c r="CF34" s="135">
        <f t="shared" si="33"/>
        <v>91</v>
      </c>
      <c r="CG34" s="111"/>
      <c r="CH34" s="113">
        <v>196</v>
      </c>
      <c r="CI34" s="97"/>
      <c r="CJ34" s="135">
        <f t="shared" si="34"/>
        <v>78</v>
      </c>
      <c r="CK34" s="111"/>
      <c r="CL34" s="113">
        <v>274</v>
      </c>
      <c r="CM34" s="97"/>
      <c r="CN34" s="135">
        <f t="shared" si="35"/>
        <v>192</v>
      </c>
      <c r="CO34" s="111"/>
      <c r="CP34" s="113">
        <v>466</v>
      </c>
      <c r="CQ34" s="97"/>
      <c r="CR34" s="110">
        <v>151</v>
      </c>
      <c r="CS34" s="97"/>
      <c r="CT34" s="135">
        <v>102</v>
      </c>
      <c r="CU34" s="111"/>
      <c r="CV34" s="113">
        <v>253</v>
      </c>
      <c r="CW34" s="97"/>
      <c r="CX34" s="135">
        <v>94</v>
      </c>
      <c r="CY34" s="111"/>
      <c r="CZ34" s="113">
        <v>345</v>
      </c>
      <c r="DA34" s="97"/>
      <c r="DB34" s="135">
        <v>167</v>
      </c>
      <c r="DC34" s="111"/>
      <c r="DD34" s="113">
        <v>513</v>
      </c>
      <c r="DE34" s="97"/>
      <c r="DF34" s="110">
        <v>150</v>
      </c>
      <c r="DG34" s="97"/>
      <c r="DH34" s="135">
        <v>45</v>
      </c>
      <c r="DI34" s="111"/>
      <c r="DJ34" s="113">
        <v>195</v>
      </c>
      <c r="DK34" s="97"/>
      <c r="DL34" s="135">
        <v>121</v>
      </c>
      <c r="DM34" s="111"/>
      <c r="DN34" s="113">
        <v>316</v>
      </c>
      <c r="DO34" s="97"/>
      <c r="DP34" s="135">
        <v>103</v>
      </c>
      <c r="DQ34" s="111"/>
      <c r="DR34" s="113">
        <v>419</v>
      </c>
      <c r="DS34" s="97"/>
      <c r="DT34" s="110">
        <v>115</v>
      </c>
      <c r="DU34" s="97"/>
      <c r="DV34" s="135">
        <v>106</v>
      </c>
      <c r="DW34" s="111"/>
      <c r="DX34" s="113">
        <v>222</v>
      </c>
      <c r="DY34" s="97"/>
      <c r="DZ34" s="135">
        <v>113</v>
      </c>
      <c r="EA34" s="111"/>
      <c r="EB34" s="113">
        <v>334</v>
      </c>
      <c r="EC34" s="97"/>
      <c r="ED34" s="135">
        <v>130</v>
      </c>
      <c r="EE34" s="111"/>
      <c r="EF34" s="113">
        <v>465</v>
      </c>
      <c r="EG34" s="97"/>
      <c r="EH34" s="110">
        <v>225</v>
      </c>
      <c r="EI34" s="97"/>
      <c r="EJ34" s="135">
        <v>-766</v>
      </c>
      <c r="EK34" s="111"/>
      <c r="EL34" s="113">
        <v>-542</v>
      </c>
      <c r="EM34" s="97"/>
      <c r="EN34" s="135">
        <v>-252</v>
      </c>
      <c r="EO34" s="111"/>
      <c r="EP34" s="113">
        <v>-793</v>
      </c>
    </row>
    <row r="35" spans="2:146">
      <c r="B35" s="130"/>
      <c r="C35" s="107"/>
      <c r="D35" s="148" t="s">
        <v>47</v>
      </c>
      <c r="E35" s="107"/>
      <c r="F35" s="142">
        <f>SUM(F30:F34)</f>
        <v>149573</v>
      </c>
      <c r="G35" s="132"/>
      <c r="H35" s="142">
        <f>SUM(H30:H34)</f>
        <v>37073</v>
      </c>
      <c r="I35" s="132"/>
      <c r="J35" s="142">
        <f>SUM(J30:J34)</f>
        <v>23640</v>
      </c>
      <c r="K35" s="132"/>
      <c r="L35" s="142">
        <f>SUM(L30:L34)</f>
        <v>9126</v>
      </c>
      <c r="M35" s="132"/>
      <c r="N35" s="152">
        <f>SUM(N30:N34)</f>
        <v>10649</v>
      </c>
      <c r="O35" s="132"/>
      <c r="P35" s="145">
        <f>SUM(P30:P34)</f>
        <v>19775</v>
      </c>
      <c r="Q35" s="111"/>
      <c r="R35" s="152">
        <f>SUM(R30:R34)</f>
        <v>8496</v>
      </c>
      <c r="S35" s="132"/>
      <c r="T35" s="145">
        <f>SUM(T30:T34)</f>
        <v>28271</v>
      </c>
      <c r="U35" s="132"/>
      <c r="V35" s="152">
        <f>SUM(V30:V34)</f>
        <v>11372</v>
      </c>
      <c r="W35" s="132"/>
      <c r="X35" s="145">
        <f>SUM(X30:X34)</f>
        <v>39643</v>
      </c>
      <c r="Y35" s="132"/>
      <c r="Z35" s="142">
        <f>SUM(Z30:Z34)</f>
        <v>6429</v>
      </c>
      <c r="AA35" s="132"/>
      <c r="AB35" s="152">
        <f>SUM(AB30:AB34)</f>
        <v>11568</v>
      </c>
      <c r="AC35" s="111"/>
      <c r="AD35" s="145">
        <f>SUM(AD30:AD34)</f>
        <v>17997</v>
      </c>
      <c r="AE35" s="132"/>
      <c r="AF35" s="152">
        <f>SUM(AF30:AF34)</f>
        <v>11179</v>
      </c>
      <c r="AG35" s="132"/>
      <c r="AH35" s="145">
        <f>SUM(AH30:AH34)</f>
        <v>29176</v>
      </c>
      <c r="AI35" s="132"/>
      <c r="AJ35" s="152">
        <f>SUM(AJ30:AJ34)</f>
        <v>2866</v>
      </c>
      <c r="AK35" s="132"/>
      <c r="AL35" s="145">
        <f>SUM(AL30:AL34)</f>
        <v>32042</v>
      </c>
      <c r="AM35" s="132"/>
      <c r="AN35" s="142">
        <f>SUM(AN30:AN34)</f>
        <v>9448</v>
      </c>
      <c r="AO35" s="97"/>
      <c r="AP35" s="152">
        <f>SUM(AP30:AP34)</f>
        <v>9682</v>
      </c>
      <c r="AQ35" s="132"/>
      <c r="AR35" s="145">
        <f>SUM(AR30:AR34)</f>
        <v>19130</v>
      </c>
      <c r="AS35" s="132"/>
      <c r="AT35" s="152">
        <f>SUM(AT30:AT34)</f>
        <v>16450</v>
      </c>
      <c r="AU35" s="132"/>
      <c r="AV35" s="145">
        <f>SUM(AV30:AV34)</f>
        <v>35580</v>
      </c>
      <c r="AW35" s="132"/>
      <c r="AX35" s="152">
        <f>SUM(AX30:AX34)</f>
        <v>12817</v>
      </c>
      <c r="AY35" s="132"/>
      <c r="AZ35" s="145">
        <f>SUM(AZ30:AZ34)</f>
        <v>48397</v>
      </c>
      <c r="BA35" s="97"/>
      <c r="BB35" s="142">
        <f>SUM(BB30:BB34)</f>
        <v>16613</v>
      </c>
      <c r="BC35" s="154"/>
      <c r="BD35" s="152">
        <f>SUM(BD30:BD34)</f>
        <v>45265</v>
      </c>
      <c r="BE35" s="132"/>
      <c r="BF35" s="145">
        <f>SUM(BF30:BF34)</f>
        <v>61878</v>
      </c>
      <c r="BG35" s="132"/>
      <c r="BH35" s="152">
        <f>SUM(BH30:BH34)</f>
        <v>27173</v>
      </c>
      <c r="BI35" s="132"/>
      <c r="BJ35" s="145">
        <f>SUM(BJ30:BJ34)</f>
        <v>89051</v>
      </c>
      <c r="BK35" s="132"/>
      <c r="BL35" s="152">
        <f>SUM(BL30:BL34)</f>
        <v>21740</v>
      </c>
      <c r="BM35" s="111"/>
      <c r="BN35" s="145">
        <f>SUM(BN30:BN34)</f>
        <v>110791</v>
      </c>
      <c r="BO35" s="132"/>
      <c r="BP35" s="142">
        <f>SUM(BP30:BP34)</f>
        <v>23183</v>
      </c>
      <c r="BQ35" s="132"/>
      <c r="BR35" s="152">
        <f>SUM(BR30:BR34)</f>
        <v>19930</v>
      </c>
      <c r="BS35" s="132"/>
      <c r="BT35" s="145">
        <f>SUM(BT30:BT34)</f>
        <v>43113</v>
      </c>
      <c r="BU35" s="132"/>
      <c r="BV35" s="152">
        <f>SUM(BV30:BV34)</f>
        <v>23749</v>
      </c>
      <c r="BW35" s="132"/>
      <c r="BX35" s="145">
        <f>SUM(BX30:BX34)</f>
        <v>66862</v>
      </c>
      <c r="BY35" s="132"/>
      <c r="BZ35" s="152">
        <f>SUM(BZ30:BZ34)</f>
        <v>9106</v>
      </c>
      <c r="CA35" s="132"/>
      <c r="CB35" s="145">
        <f>SUM(CB30:CB34)</f>
        <v>75968</v>
      </c>
      <c r="CC35" s="132"/>
      <c r="CD35" s="142">
        <f>SUM(CD30:CD34)</f>
        <v>15456</v>
      </c>
      <c r="CE35" s="132"/>
      <c r="CF35" s="152">
        <f>SUM(CF30:CF34)</f>
        <v>16779</v>
      </c>
      <c r="CG35" s="132"/>
      <c r="CH35" s="145">
        <f>SUM(CH30:CH34)</f>
        <v>32235</v>
      </c>
      <c r="CI35" s="132"/>
      <c r="CJ35" s="152">
        <f>SUM(CJ30:CJ34)</f>
        <v>18574</v>
      </c>
      <c r="CK35" s="132"/>
      <c r="CL35" s="145">
        <f>SUM(CL30:CL34)</f>
        <v>50809</v>
      </c>
      <c r="CM35" s="132"/>
      <c r="CN35" s="152">
        <f>SUM(CN30:CN34)</f>
        <v>6019</v>
      </c>
      <c r="CO35" s="132"/>
      <c r="CP35" s="145">
        <f>SUM(CP30:CP34)</f>
        <v>56828</v>
      </c>
      <c r="CQ35" s="132"/>
      <c r="CR35" s="142">
        <f>SUM(CR30:CR34)</f>
        <v>9292</v>
      </c>
      <c r="CS35" s="132"/>
      <c r="CT35" s="152">
        <f>SUM(CT30:CT34)</f>
        <v>10184</v>
      </c>
      <c r="CU35" s="132"/>
      <c r="CV35" s="145">
        <f>SUM(CV30:CV34)</f>
        <v>19476</v>
      </c>
      <c r="CW35" s="132"/>
      <c r="CX35" s="152">
        <f>SUM(CX30:CX34)</f>
        <v>10932</v>
      </c>
      <c r="CY35" s="132"/>
      <c r="CZ35" s="145">
        <f>SUM(CZ30:CZ34)</f>
        <v>30408</v>
      </c>
      <c r="DA35" s="132"/>
      <c r="DB35" s="152">
        <f>SUM(DB30:DB34)</f>
        <v>2705</v>
      </c>
      <c r="DC35" s="132"/>
      <c r="DD35" s="145">
        <f>SUM(DD30:DD34)</f>
        <v>33113</v>
      </c>
      <c r="DE35" s="132"/>
      <c r="DF35" s="142">
        <f>SUM(DF30:DF34)</f>
        <v>7358</v>
      </c>
      <c r="DG35" s="132"/>
      <c r="DH35" s="152">
        <f>SUM(DH30:DH34)</f>
        <v>6912</v>
      </c>
      <c r="DI35" s="132"/>
      <c r="DJ35" s="145">
        <f>SUM(DJ30:DJ34)</f>
        <v>14270</v>
      </c>
      <c r="DK35" s="132"/>
      <c r="DL35" s="152">
        <f>SUM(DL30:DL34)</f>
        <v>8624</v>
      </c>
      <c r="DM35" s="132"/>
      <c r="DN35" s="145">
        <f>SUM(DN30:DN34)</f>
        <v>22894</v>
      </c>
      <c r="DO35" s="132"/>
      <c r="DP35" s="152">
        <f>SUM(DP30:DP34)</f>
        <v>9723</v>
      </c>
      <c r="DQ35" s="132"/>
      <c r="DR35" s="145">
        <f>SUM(DR30:DR34)</f>
        <v>32617</v>
      </c>
      <c r="DS35" s="132"/>
      <c r="DT35" s="142">
        <f>SUM(DT30:DT34)</f>
        <v>12428</v>
      </c>
      <c r="DU35" s="132"/>
      <c r="DV35" s="152">
        <f>SUM(DV30:DV34)</f>
        <v>14030</v>
      </c>
      <c r="DW35" s="132"/>
      <c r="DX35" s="145">
        <f>SUM(DX30:DX34)</f>
        <v>26459</v>
      </c>
      <c r="DY35" s="132"/>
      <c r="DZ35" s="152">
        <f>SUM(DZ30:DZ34)</f>
        <v>16638</v>
      </c>
      <c r="EA35" s="132"/>
      <c r="EB35" s="145">
        <f>SUM(EB30:EB34)</f>
        <v>43096</v>
      </c>
      <c r="EC35" s="132"/>
      <c r="ED35" s="152">
        <f>SUM(ED30:ED34)</f>
        <v>14465</v>
      </c>
      <c r="EE35" s="132"/>
      <c r="EF35" s="145">
        <f>SUM(EF30:EF34)</f>
        <v>57562</v>
      </c>
      <c r="EG35" s="132"/>
      <c r="EH35" s="142">
        <f>SUM(EH30:EH34)</f>
        <v>20470</v>
      </c>
      <c r="EI35" s="132"/>
      <c r="EJ35" s="152">
        <f>SUM(EJ30:EJ34)</f>
        <v>15454</v>
      </c>
      <c r="EK35" s="132"/>
      <c r="EL35" s="145">
        <f>SUM(EL30:EL34)</f>
        <v>35924</v>
      </c>
      <c r="EM35" s="132"/>
      <c r="EN35" s="152">
        <f>SUM(EN30:EN34)</f>
        <v>18706</v>
      </c>
      <c r="EO35" s="132"/>
      <c r="EP35" s="145">
        <f>SUM(EP30:EP34)</f>
        <v>54630</v>
      </c>
    </row>
    <row r="36" spans="2:146">
      <c r="B36" s="130"/>
      <c r="C36" s="107"/>
      <c r="D36" s="148"/>
      <c r="E36" s="107"/>
      <c r="F36" s="131"/>
      <c r="G36" s="132"/>
      <c r="H36" s="131"/>
      <c r="I36" s="132"/>
      <c r="J36" s="131"/>
      <c r="K36" s="132"/>
      <c r="L36" s="110"/>
      <c r="M36" s="111"/>
      <c r="N36" s="112"/>
      <c r="O36" s="111"/>
      <c r="P36" s="113"/>
      <c r="Q36" s="111"/>
      <c r="R36" s="112"/>
      <c r="S36" s="111"/>
      <c r="T36" s="113"/>
      <c r="U36" s="111"/>
      <c r="V36" s="112"/>
      <c r="W36" s="111"/>
      <c r="X36" s="113"/>
      <c r="Y36" s="111"/>
      <c r="Z36" s="110"/>
      <c r="AA36" s="111"/>
      <c r="AB36" s="112"/>
      <c r="AC36" s="111"/>
      <c r="AD36" s="113"/>
      <c r="AE36" s="111"/>
      <c r="AF36" s="112"/>
      <c r="AG36" s="111"/>
      <c r="AH36" s="113"/>
      <c r="AI36" s="97"/>
      <c r="AJ36" s="112"/>
      <c r="AK36" s="111"/>
      <c r="AL36" s="113"/>
      <c r="AM36" s="97"/>
      <c r="AN36" s="110"/>
      <c r="AO36" s="97"/>
      <c r="AP36" s="112"/>
      <c r="AQ36" s="111"/>
      <c r="AR36" s="113"/>
      <c r="AS36" s="111"/>
      <c r="AT36" s="112"/>
      <c r="AU36" s="111"/>
      <c r="AV36" s="113"/>
      <c r="AW36" s="97"/>
      <c r="AX36" s="112"/>
      <c r="AY36" s="111"/>
      <c r="AZ36" s="113"/>
      <c r="BA36" s="97"/>
      <c r="BB36" s="110"/>
      <c r="BC36" s="114"/>
      <c r="BD36" s="112"/>
      <c r="BE36" s="111"/>
      <c r="BF36" s="113"/>
      <c r="BG36" s="111"/>
      <c r="BH36" s="112"/>
      <c r="BI36" s="111"/>
      <c r="BJ36" s="113"/>
      <c r="BK36" s="97"/>
      <c r="BL36" s="112"/>
      <c r="BM36" s="111"/>
      <c r="BN36" s="113"/>
      <c r="BO36" s="97"/>
      <c r="BP36" s="110">
        <v>0</v>
      </c>
      <c r="BQ36" s="97"/>
      <c r="BR36" s="112"/>
      <c r="BS36" s="111"/>
      <c r="BT36" s="113">
        <v>0</v>
      </c>
      <c r="BU36" s="97"/>
      <c r="BV36" s="112"/>
      <c r="BW36" s="111"/>
      <c r="BX36" s="113">
        <v>0</v>
      </c>
      <c r="BY36" s="97"/>
      <c r="BZ36" s="112"/>
      <c r="CA36" s="111"/>
      <c r="CB36" s="113">
        <v>0</v>
      </c>
      <c r="CC36" s="97"/>
      <c r="CD36" s="110">
        <v>0</v>
      </c>
      <c r="CE36" s="97"/>
      <c r="CF36" s="112"/>
      <c r="CG36" s="111"/>
      <c r="CH36" s="113">
        <v>0</v>
      </c>
      <c r="CI36" s="97"/>
      <c r="CJ36" s="112"/>
      <c r="CK36" s="111"/>
      <c r="CL36" s="113">
        <v>0</v>
      </c>
      <c r="CM36" s="97"/>
      <c r="CN36" s="112"/>
      <c r="CO36" s="111"/>
      <c r="CP36" s="113"/>
      <c r="CQ36" s="97"/>
      <c r="CR36" s="110"/>
      <c r="CS36" s="97"/>
      <c r="CT36" s="112"/>
      <c r="CU36" s="111"/>
      <c r="CV36" s="113"/>
      <c r="CW36" s="97"/>
      <c r="CX36" s="112"/>
      <c r="CY36" s="111"/>
      <c r="CZ36" s="113"/>
      <c r="DA36" s="97"/>
      <c r="DB36" s="112"/>
      <c r="DC36" s="111"/>
      <c r="DD36" s="113"/>
      <c r="DE36" s="97"/>
      <c r="DF36" s="110"/>
      <c r="DG36" s="97"/>
      <c r="DH36" s="112"/>
      <c r="DI36" s="111"/>
      <c r="DJ36" s="113"/>
      <c r="DK36" s="97"/>
      <c r="DL36" s="112"/>
      <c r="DM36" s="111"/>
      <c r="DN36" s="113"/>
      <c r="DO36" s="97"/>
      <c r="DP36" s="112"/>
      <c r="DQ36" s="111"/>
      <c r="DR36" s="113"/>
      <c r="DS36" s="97"/>
      <c r="DT36" s="110"/>
      <c r="DU36" s="97"/>
      <c r="DV36" s="112"/>
      <c r="DW36" s="111"/>
      <c r="DX36" s="113"/>
      <c r="DY36" s="97"/>
      <c r="DZ36" s="112"/>
      <c r="EA36" s="111"/>
      <c r="EB36" s="113"/>
      <c r="EC36" s="97"/>
      <c r="ED36" s="112"/>
      <c r="EE36" s="111"/>
      <c r="EF36" s="113"/>
      <c r="EG36" s="97"/>
      <c r="EH36" s="110"/>
      <c r="EI36" s="97"/>
      <c r="EJ36" s="112"/>
      <c r="EK36" s="111"/>
      <c r="EL36" s="113"/>
      <c r="EM36" s="97"/>
      <c r="EN36" s="112"/>
      <c r="EO36" s="111"/>
      <c r="EP36" s="113"/>
    </row>
    <row r="37" spans="2:146">
      <c r="B37" s="160" t="s">
        <v>80</v>
      </c>
      <c r="C37" s="107"/>
      <c r="D37" s="107"/>
      <c r="E37" s="107"/>
      <c r="F37" s="131">
        <f>F27+F35</f>
        <v>529253</v>
      </c>
      <c r="G37" s="132"/>
      <c r="H37" s="131">
        <f>H27+H35</f>
        <v>69855</v>
      </c>
      <c r="I37" s="132"/>
      <c r="J37" s="131">
        <f>J27+J35</f>
        <v>349165</v>
      </c>
      <c r="K37" s="132"/>
      <c r="L37" s="131">
        <f>L27+L35</f>
        <v>88274</v>
      </c>
      <c r="M37" s="132"/>
      <c r="N37" s="154">
        <f>N27+N35</f>
        <v>75677</v>
      </c>
      <c r="O37" s="132"/>
      <c r="P37" s="155">
        <f>P27+P35</f>
        <v>163951</v>
      </c>
      <c r="Q37" s="111"/>
      <c r="R37" s="154">
        <f>R27+R35</f>
        <v>69855</v>
      </c>
      <c r="S37" s="132"/>
      <c r="T37" s="155">
        <f>T27+T35</f>
        <v>233806</v>
      </c>
      <c r="U37" s="132"/>
      <c r="V37" s="154">
        <f>V27+V35</f>
        <v>7310</v>
      </c>
      <c r="W37" s="132"/>
      <c r="X37" s="155">
        <f>X27+X35</f>
        <v>241116</v>
      </c>
      <c r="Y37" s="132"/>
      <c r="Z37" s="131">
        <f>Z27+Z35</f>
        <v>65177</v>
      </c>
      <c r="AA37" s="132"/>
      <c r="AB37" s="154">
        <f>AB27+AB35</f>
        <v>115664</v>
      </c>
      <c r="AC37" s="111"/>
      <c r="AD37" s="155">
        <f>AD27+AD35</f>
        <v>180841</v>
      </c>
      <c r="AE37" s="132"/>
      <c r="AF37" s="154">
        <f>AF27+AF35</f>
        <v>112799</v>
      </c>
      <c r="AG37" s="132"/>
      <c r="AH37" s="155">
        <f>AH27+AH35</f>
        <v>293640</v>
      </c>
      <c r="AI37" s="132"/>
      <c r="AJ37" s="154">
        <f>AJ27+AJ35</f>
        <v>19182</v>
      </c>
      <c r="AK37" s="132"/>
      <c r="AL37" s="155">
        <f>AL27+AL35</f>
        <v>312822</v>
      </c>
      <c r="AM37" s="132"/>
      <c r="AN37" s="131">
        <f>AN27+AN35</f>
        <v>94650</v>
      </c>
      <c r="AO37" s="97"/>
      <c r="AP37" s="154">
        <f>AP27+AP35</f>
        <v>93845</v>
      </c>
      <c r="AQ37" s="132"/>
      <c r="AR37" s="155">
        <f>AR27+AR35</f>
        <v>188495</v>
      </c>
      <c r="AS37" s="132"/>
      <c r="AT37" s="154">
        <f>AT27+AT35</f>
        <v>64529</v>
      </c>
      <c r="AU37" s="132"/>
      <c r="AV37" s="155">
        <f>AV27+AV35</f>
        <v>253024</v>
      </c>
      <c r="AW37" s="132"/>
      <c r="AX37" s="154">
        <f>AX27+AX35</f>
        <v>-47971</v>
      </c>
      <c r="AY37" s="132"/>
      <c r="AZ37" s="155">
        <f>AZ27+AZ35</f>
        <v>205053</v>
      </c>
      <c r="BA37" s="97"/>
      <c r="BB37" s="131">
        <f>BB27+BB35</f>
        <v>18079</v>
      </c>
      <c r="BC37" s="154"/>
      <c r="BD37" s="154">
        <f>BD27+BD35</f>
        <v>264357</v>
      </c>
      <c r="BE37" s="132"/>
      <c r="BF37" s="155">
        <f>BF27+BF35</f>
        <v>282436</v>
      </c>
      <c r="BG37" s="132"/>
      <c r="BH37" s="154">
        <f>BH27+BH35</f>
        <v>-16034</v>
      </c>
      <c r="BI37" s="132"/>
      <c r="BJ37" s="155">
        <f>BJ27+BJ35</f>
        <v>266402</v>
      </c>
      <c r="BK37" s="132"/>
      <c r="BL37" s="154">
        <f>BL27+BL35</f>
        <v>-8746</v>
      </c>
      <c r="BM37" s="111"/>
      <c r="BN37" s="155">
        <f>BN27+BN35</f>
        <v>257656</v>
      </c>
      <c r="BO37" s="132"/>
      <c r="BP37" s="131">
        <f>BP27+BP35</f>
        <v>31008</v>
      </c>
      <c r="BQ37" s="132"/>
      <c r="BR37" s="154">
        <f>BR27+BR35</f>
        <v>-29850</v>
      </c>
      <c r="BS37" s="132"/>
      <c r="BT37" s="155">
        <f>BT27+BT35</f>
        <v>1158</v>
      </c>
      <c r="BU37" s="132"/>
      <c r="BV37" s="154">
        <f>BV27+BV35</f>
        <v>-25230</v>
      </c>
      <c r="BW37" s="132"/>
      <c r="BX37" s="155">
        <f>BX27+BX35</f>
        <v>-24072</v>
      </c>
      <c r="BY37" s="132"/>
      <c r="BZ37" s="154">
        <f>BZ27+BZ35</f>
        <v>-34632</v>
      </c>
      <c r="CA37" s="132"/>
      <c r="CB37" s="155">
        <f>CB27+CB35</f>
        <v>-58704</v>
      </c>
      <c r="CC37" s="132"/>
      <c r="CD37" s="131">
        <f>CD27+CD35</f>
        <v>272491</v>
      </c>
      <c r="CE37" s="132"/>
      <c r="CF37" s="154">
        <f>CF27+CF35</f>
        <v>32989</v>
      </c>
      <c r="CG37" s="132"/>
      <c r="CH37" s="155">
        <f>CH27+CH35</f>
        <v>305480</v>
      </c>
      <c r="CI37" s="132"/>
      <c r="CJ37" s="154">
        <f>CJ27+CJ35</f>
        <v>105655</v>
      </c>
      <c r="CK37" s="132"/>
      <c r="CL37" s="155">
        <f>CL27+CL35</f>
        <v>411135</v>
      </c>
      <c r="CM37" s="132"/>
      <c r="CN37" s="154">
        <f>CN27+CN35</f>
        <v>-7506</v>
      </c>
      <c r="CO37" s="132"/>
      <c r="CP37" s="155">
        <f>CP27+CP35</f>
        <v>403629</v>
      </c>
      <c r="CQ37" s="132"/>
      <c r="CR37" s="131">
        <f>CR27+CR35</f>
        <v>20124</v>
      </c>
      <c r="CS37" s="132"/>
      <c r="CT37" s="154">
        <f>CT27+CT35</f>
        <v>39948</v>
      </c>
      <c r="CU37" s="132"/>
      <c r="CV37" s="155">
        <f>CV27+CV35</f>
        <v>60072</v>
      </c>
      <c r="CW37" s="132"/>
      <c r="CX37" s="154">
        <f>CX27+CX35</f>
        <v>32959</v>
      </c>
      <c r="CY37" s="132"/>
      <c r="CZ37" s="155">
        <f>CZ27+CZ35</f>
        <v>93031</v>
      </c>
      <c r="DA37" s="132"/>
      <c r="DB37" s="154">
        <f>DB27+DB35</f>
        <v>-11187</v>
      </c>
      <c r="DC37" s="132"/>
      <c r="DD37" s="155">
        <f>DD27+DD35</f>
        <v>81844</v>
      </c>
      <c r="DE37" s="132"/>
      <c r="DF37" s="131">
        <f>DF27+DF35</f>
        <v>60919</v>
      </c>
      <c r="DG37" s="132"/>
      <c r="DH37" s="154">
        <f>DH27+DH35</f>
        <v>12173</v>
      </c>
      <c r="DI37" s="132"/>
      <c r="DJ37" s="155">
        <f>DJ27+DJ35</f>
        <v>73092</v>
      </c>
      <c r="DK37" s="132"/>
      <c r="DL37" s="154">
        <f>DL27+DL35</f>
        <v>-351128</v>
      </c>
      <c r="DM37" s="132"/>
      <c r="DN37" s="155">
        <f>DN27+DN35</f>
        <v>-278036</v>
      </c>
      <c r="DO37" s="132"/>
      <c r="DP37" s="154">
        <f>DP27+DP35</f>
        <v>6215</v>
      </c>
      <c r="DQ37" s="132"/>
      <c r="DR37" s="155">
        <f>DR27+DR35</f>
        <v>-271821</v>
      </c>
      <c r="DS37" s="132"/>
      <c r="DT37" s="131">
        <f>DT27+DT35</f>
        <v>77260</v>
      </c>
      <c r="DU37" s="132"/>
      <c r="DV37" s="154">
        <f>DV27+DV35</f>
        <v>69701</v>
      </c>
      <c r="DW37" s="132"/>
      <c r="DX37" s="155">
        <f>DX27+DX35</f>
        <v>146961</v>
      </c>
      <c r="DY37" s="132"/>
      <c r="DZ37" s="154">
        <f>DZ27+DZ35</f>
        <v>50880</v>
      </c>
      <c r="EA37" s="132"/>
      <c r="EB37" s="155">
        <f>EB27+EB35</f>
        <v>197841</v>
      </c>
      <c r="EC37" s="132"/>
      <c r="ED37" s="154">
        <f>ED27+ED35</f>
        <v>17335</v>
      </c>
      <c r="EE37" s="132"/>
      <c r="EF37" s="155">
        <f>EF27+EF35</f>
        <v>215176</v>
      </c>
      <c r="EG37" s="132"/>
      <c r="EH37" s="131">
        <f>EH27+EH35</f>
        <v>84935</v>
      </c>
      <c r="EI37" s="132"/>
      <c r="EJ37" s="154">
        <f>EJ27+EJ35</f>
        <v>45847</v>
      </c>
      <c r="EK37" s="132"/>
      <c r="EL37" s="155">
        <f>EL27+EL35</f>
        <v>130782</v>
      </c>
      <c r="EM37" s="132"/>
      <c r="EN37" s="154">
        <f>EN27+EN35</f>
        <v>39101</v>
      </c>
      <c r="EO37" s="132"/>
      <c r="EP37" s="155">
        <f>EP27+EP35</f>
        <v>169883</v>
      </c>
    </row>
    <row r="38" spans="2:146">
      <c r="B38" s="130"/>
      <c r="C38" s="159" t="s">
        <v>49</v>
      </c>
      <c r="D38" s="159"/>
      <c r="E38" s="159"/>
      <c r="F38" s="161">
        <v>205902</v>
      </c>
      <c r="G38" s="132"/>
      <c r="H38" s="161">
        <v>9067</v>
      </c>
      <c r="I38" s="132"/>
      <c r="J38" s="161">
        <v>117850</v>
      </c>
      <c r="K38" s="132"/>
      <c r="L38" s="162">
        <v>34249</v>
      </c>
      <c r="M38" s="111"/>
      <c r="N38" s="163">
        <f t="shared" ref="N38:N40" si="36">P38-L38</f>
        <v>28768</v>
      </c>
      <c r="O38" s="111"/>
      <c r="P38" s="164">
        <v>63017</v>
      </c>
      <c r="Q38" s="111"/>
      <c r="R38" s="163">
        <f t="shared" ref="R38:R40" si="37">T38-P38</f>
        <v>25639</v>
      </c>
      <c r="S38" s="111"/>
      <c r="T38" s="164">
        <v>88656</v>
      </c>
      <c r="U38" s="111"/>
      <c r="V38" s="163">
        <f t="shared" ref="V38:V40" si="38">X38-T38</f>
        <v>-6698</v>
      </c>
      <c r="W38" s="111"/>
      <c r="X38" s="164">
        <v>81958</v>
      </c>
      <c r="Y38" s="111"/>
      <c r="Z38" s="162">
        <v>24747</v>
      </c>
      <c r="AA38" s="111"/>
      <c r="AB38" s="163">
        <f t="shared" ref="AB38:AB40" si="39">AD38-Z38</f>
        <v>34732</v>
      </c>
      <c r="AC38" s="111"/>
      <c r="AD38" s="164">
        <v>59479</v>
      </c>
      <c r="AE38" s="111"/>
      <c r="AF38" s="163">
        <f t="shared" ref="AF38:AF40" si="40">AH38-AD38</f>
        <v>43292</v>
      </c>
      <c r="AG38" s="111"/>
      <c r="AH38" s="164">
        <v>102771</v>
      </c>
      <c r="AI38" s="97"/>
      <c r="AJ38" s="163">
        <f t="shared" ref="AJ38:AJ40" si="41">AL38-AH38</f>
        <v>11307</v>
      </c>
      <c r="AK38" s="111"/>
      <c r="AL38" s="164">
        <v>114078</v>
      </c>
      <c r="AM38" s="97"/>
      <c r="AN38" s="162">
        <v>25638</v>
      </c>
      <c r="AO38" s="97"/>
      <c r="AP38" s="163">
        <f t="shared" ref="AP38:AP40" si="42">AR38-AN38</f>
        <v>34597</v>
      </c>
      <c r="AQ38" s="111"/>
      <c r="AR38" s="164">
        <v>60235</v>
      </c>
      <c r="AS38" s="111"/>
      <c r="AT38" s="163">
        <f t="shared" ref="AT38:AT40" si="43">AV38-AR38</f>
        <v>22389</v>
      </c>
      <c r="AU38" s="111"/>
      <c r="AV38" s="164">
        <v>82624</v>
      </c>
      <c r="AW38" s="97"/>
      <c r="AX38" s="163">
        <f t="shared" ref="AX38:AX40" si="44">AZ38-AV38</f>
        <v>-18647</v>
      </c>
      <c r="AY38" s="111"/>
      <c r="AZ38" s="164">
        <v>63977</v>
      </c>
      <c r="BA38" s="97"/>
      <c r="BB38" s="162">
        <v>7369</v>
      </c>
      <c r="BC38" s="114"/>
      <c r="BD38" s="163">
        <f t="shared" ref="BD38:BD40" si="45">BF38-BB38</f>
        <v>120682</v>
      </c>
      <c r="BE38" s="111"/>
      <c r="BF38" s="164">
        <v>128051</v>
      </c>
      <c r="BG38" s="111"/>
      <c r="BH38" s="163">
        <f t="shared" ref="BH38:BH40" si="46">BJ38-BF38</f>
        <v>-6433</v>
      </c>
      <c r="BI38" s="111"/>
      <c r="BJ38" s="164">
        <v>121618</v>
      </c>
      <c r="BK38" s="97"/>
      <c r="BL38" s="163">
        <f t="shared" ref="BL38:BL40" si="47">BN38-BJ38</f>
        <v>-8484</v>
      </c>
      <c r="BM38" s="111"/>
      <c r="BN38" s="164">
        <v>113134</v>
      </c>
      <c r="BO38" s="97"/>
      <c r="BP38" s="162">
        <v>12604</v>
      </c>
      <c r="BQ38" s="97"/>
      <c r="BR38" s="163">
        <f t="shared" ref="BR38:BR40" si="48">BT38-BP38</f>
        <v>-10399</v>
      </c>
      <c r="BS38" s="111"/>
      <c r="BT38" s="164">
        <v>2205</v>
      </c>
      <c r="BU38" s="97"/>
      <c r="BV38" s="163">
        <f t="shared" ref="BV38" si="49">BX38-BT38</f>
        <v>-1459</v>
      </c>
      <c r="BW38" s="111"/>
      <c r="BX38" s="164">
        <v>746</v>
      </c>
      <c r="BY38" s="97"/>
      <c r="BZ38" s="163">
        <f t="shared" ref="BZ38" si="50">CB38-BX38</f>
        <v>-12528</v>
      </c>
      <c r="CA38" s="111"/>
      <c r="CB38" s="164">
        <v>-11782</v>
      </c>
      <c r="CC38" s="97"/>
      <c r="CD38" s="162">
        <v>107501</v>
      </c>
      <c r="CE38" s="97"/>
      <c r="CF38" s="163">
        <f t="shared" ref="CF38" si="51">CH38-CD38</f>
        <v>13079</v>
      </c>
      <c r="CG38" s="111"/>
      <c r="CH38" s="164">
        <v>120580</v>
      </c>
      <c r="CI38" s="97"/>
      <c r="CJ38" s="163">
        <f t="shared" ref="CJ38" si="52">CL38-CH38</f>
        <v>40634</v>
      </c>
      <c r="CK38" s="111"/>
      <c r="CL38" s="164">
        <v>161214</v>
      </c>
      <c r="CM38" s="97"/>
      <c r="CN38" s="163">
        <f t="shared" ref="CN38" si="53">CP38-CL38</f>
        <v>-4880</v>
      </c>
      <c r="CO38" s="111"/>
      <c r="CP38" s="164">
        <v>156334</v>
      </c>
      <c r="CQ38" s="97"/>
      <c r="CR38" s="162">
        <v>10690</v>
      </c>
      <c r="CS38" s="97"/>
      <c r="CT38" s="163">
        <v>12692</v>
      </c>
      <c r="CU38" s="111"/>
      <c r="CV38" s="164">
        <v>23382</v>
      </c>
      <c r="CW38" s="97"/>
      <c r="CX38" s="163">
        <v>15144</v>
      </c>
      <c r="CY38" s="111"/>
      <c r="CZ38" s="164">
        <v>38527</v>
      </c>
      <c r="DA38" s="97"/>
      <c r="DB38" s="163">
        <v>-6058</v>
      </c>
      <c r="DC38" s="111"/>
      <c r="DD38" s="164">
        <v>32469</v>
      </c>
      <c r="DE38" s="97"/>
      <c r="DF38" s="162">
        <v>33010</v>
      </c>
      <c r="DG38" s="97"/>
      <c r="DH38" s="163">
        <v>334</v>
      </c>
      <c r="DI38" s="111"/>
      <c r="DJ38" s="164">
        <v>33343</v>
      </c>
      <c r="DK38" s="97"/>
      <c r="DL38" s="163">
        <v>-52793</v>
      </c>
      <c r="DM38" s="111"/>
      <c r="DN38" s="164">
        <v>-19449</v>
      </c>
      <c r="DO38" s="97"/>
      <c r="DP38" s="163">
        <v>-267403</v>
      </c>
      <c r="DQ38" s="111"/>
      <c r="DR38" s="164">
        <v>-286851</v>
      </c>
      <c r="DS38" s="97"/>
      <c r="DT38" s="162">
        <v>22268</v>
      </c>
      <c r="DU38" s="97"/>
      <c r="DV38" s="163">
        <v>18168</v>
      </c>
      <c r="DW38" s="111"/>
      <c r="DX38" s="164">
        <v>40436</v>
      </c>
      <c r="DY38" s="97"/>
      <c r="DZ38" s="163">
        <v>14357</v>
      </c>
      <c r="EA38" s="111"/>
      <c r="EB38" s="164">
        <v>54794</v>
      </c>
      <c r="EC38" s="97"/>
      <c r="ED38" s="163">
        <v>-3743</v>
      </c>
      <c r="EE38" s="111"/>
      <c r="EF38" s="164">
        <v>51051</v>
      </c>
      <c r="EG38" s="97"/>
      <c r="EH38" s="162">
        <v>26705</v>
      </c>
      <c r="EI38" s="97"/>
      <c r="EJ38" s="163">
        <v>13819</v>
      </c>
      <c r="EK38" s="111"/>
      <c r="EL38" s="164">
        <v>40524</v>
      </c>
      <c r="EM38" s="97"/>
      <c r="EN38" s="163">
        <v>14630</v>
      </c>
      <c r="EO38" s="111"/>
      <c r="EP38" s="164">
        <v>55154</v>
      </c>
    </row>
    <row r="39" spans="2:146">
      <c r="B39" s="1" t="s">
        <v>52</v>
      </c>
      <c r="C39" s="150"/>
      <c r="D39" s="150"/>
      <c r="E39" s="150"/>
      <c r="F39" s="131">
        <f>F37-F38</f>
        <v>323351</v>
      </c>
      <c r="G39" s="132"/>
      <c r="H39" s="131">
        <f>H37-H38</f>
        <v>60788</v>
      </c>
      <c r="I39" s="132"/>
      <c r="J39" s="131">
        <f>J37-J38</f>
        <v>231315</v>
      </c>
      <c r="K39" s="132"/>
      <c r="L39" s="131">
        <f>L37-L38</f>
        <v>54025</v>
      </c>
      <c r="M39" s="132"/>
      <c r="N39" s="154">
        <f>N37-N38</f>
        <v>46909</v>
      </c>
      <c r="O39" s="132"/>
      <c r="P39" s="155">
        <f>P37-P38</f>
        <v>100934</v>
      </c>
      <c r="Q39" s="111"/>
      <c r="R39" s="154">
        <f>R37-R38</f>
        <v>44216</v>
      </c>
      <c r="S39" s="132"/>
      <c r="T39" s="155">
        <f>T37-T38</f>
        <v>145150</v>
      </c>
      <c r="U39" s="132"/>
      <c r="V39" s="154">
        <f>V37-V38</f>
        <v>14008</v>
      </c>
      <c r="W39" s="132"/>
      <c r="X39" s="155">
        <f>X37-X38</f>
        <v>159158</v>
      </c>
      <c r="Y39" s="132"/>
      <c r="Z39" s="131">
        <f>Z37-Z38</f>
        <v>40430</v>
      </c>
      <c r="AA39" s="132"/>
      <c r="AB39" s="154">
        <f>AB37-AB38</f>
        <v>80932</v>
      </c>
      <c r="AC39" s="111"/>
      <c r="AD39" s="155">
        <f>AD37-AD38</f>
        <v>121362</v>
      </c>
      <c r="AE39" s="132"/>
      <c r="AF39" s="154">
        <f>AF37-AF38</f>
        <v>69507</v>
      </c>
      <c r="AG39" s="132"/>
      <c r="AH39" s="155">
        <f>AH37-AH38</f>
        <v>190869</v>
      </c>
      <c r="AI39" s="132"/>
      <c r="AJ39" s="154">
        <f>AJ37-AJ38</f>
        <v>7875</v>
      </c>
      <c r="AK39" s="132"/>
      <c r="AL39" s="155">
        <f>AL37-AL38</f>
        <v>198744</v>
      </c>
      <c r="AM39" s="132"/>
      <c r="AN39" s="131">
        <f>AN37-AN38</f>
        <v>69012</v>
      </c>
      <c r="AO39" s="97"/>
      <c r="AP39" s="154">
        <f>AP37-AP38</f>
        <v>59248</v>
      </c>
      <c r="AQ39" s="132"/>
      <c r="AR39" s="155">
        <f>AR37-AR38</f>
        <v>128260</v>
      </c>
      <c r="AS39" s="132"/>
      <c r="AT39" s="154">
        <f>AT37-AT38</f>
        <v>42140</v>
      </c>
      <c r="AU39" s="132"/>
      <c r="AV39" s="155">
        <f>AV37-AV38</f>
        <v>170400</v>
      </c>
      <c r="AW39" s="132"/>
      <c r="AX39" s="154">
        <f>AX37-AX38</f>
        <v>-29324</v>
      </c>
      <c r="AY39" s="132"/>
      <c r="AZ39" s="155">
        <f>AZ37-AZ38</f>
        <v>141076</v>
      </c>
      <c r="BA39" s="97"/>
      <c r="BB39" s="131">
        <f>BB37-BB38</f>
        <v>10710</v>
      </c>
      <c r="BC39" s="154"/>
      <c r="BD39" s="154">
        <f>BD37-BD38</f>
        <v>143675</v>
      </c>
      <c r="BE39" s="132"/>
      <c r="BF39" s="155">
        <f>BF37-BF38</f>
        <v>154385</v>
      </c>
      <c r="BG39" s="132"/>
      <c r="BH39" s="154">
        <f>BH37-BH38</f>
        <v>-9601</v>
      </c>
      <c r="BI39" s="132"/>
      <c r="BJ39" s="155">
        <f>BJ37-BJ38</f>
        <v>144784</v>
      </c>
      <c r="BK39" s="132"/>
      <c r="BL39" s="154">
        <f>BL37-BL38</f>
        <v>-262</v>
      </c>
      <c r="BM39" s="111"/>
      <c r="BN39" s="155">
        <f>BN37-BN38</f>
        <v>144522</v>
      </c>
      <c r="BO39" s="132"/>
      <c r="BP39" s="131">
        <f>BP37-BP38</f>
        <v>18404</v>
      </c>
      <c r="BQ39" s="132"/>
      <c r="BR39" s="154">
        <f>BR37-BR38</f>
        <v>-19451</v>
      </c>
      <c r="BS39" s="132"/>
      <c r="BT39" s="155">
        <f>BT37-BT38</f>
        <v>-1047</v>
      </c>
      <c r="BU39" s="132"/>
      <c r="BV39" s="154">
        <f>BV37-BV38</f>
        <v>-23771</v>
      </c>
      <c r="BW39" s="132"/>
      <c r="BX39" s="155">
        <f>BX37-BX38</f>
        <v>-24818</v>
      </c>
      <c r="BY39" s="132"/>
      <c r="BZ39" s="154">
        <f>BZ37-BZ38</f>
        <v>-22104</v>
      </c>
      <c r="CA39" s="132"/>
      <c r="CB39" s="155">
        <f>CB37-CB38</f>
        <v>-46922</v>
      </c>
      <c r="CC39" s="132"/>
      <c r="CD39" s="131">
        <f>CD37-CD38</f>
        <v>164990</v>
      </c>
      <c r="CE39" s="132"/>
      <c r="CF39" s="154">
        <f>CF37-CF38</f>
        <v>19910</v>
      </c>
      <c r="CG39" s="132"/>
      <c r="CH39" s="155">
        <f>CH37-CH38</f>
        <v>184900</v>
      </c>
      <c r="CI39" s="132"/>
      <c r="CJ39" s="154">
        <f>CJ37-CJ38</f>
        <v>65021</v>
      </c>
      <c r="CK39" s="132"/>
      <c r="CL39" s="155">
        <f>CL37-CL38</f>
        <v>249921</v>
      </c>
      <c r="CM39" s="132"/>
      <c r="CN39" s="154">
        <f>CN37-CN38</f>
        <v>-2626</v>
      </c>
      <c r="CO39" s="132"/>
      <c r="CP39" s="155">
        <f>CP37-CP38</f>
        <v>247295</v>
      </c>
      <c r="CQ39" s="132"/>
      <c r="CR39" s="131">
        <f>CR37-CR38</f>
        <v>9434</v>
      </c>
      <c r="CS39" s="132"/>
      <c r="CT39" s="154">
        <f>CT37-CT38</f>
        <v>27256</v>
      </c>
      <c r="CU39" s="132"/>
      <c r="CV39" s="155">
        <f>CV37-CV38</f>
        <v>36690</v>
      </c>
      <c r="CW39" s="132"/>
      <c r="CX39" s="154">
        <f>CX37-CX38</f>
        <v>17815</v>
      </c>
      <c r="CY39" s="132"/>
      <c r="CZ39" s="155">
        <f>CZ37-CZ38</f>
        <v>54504</v>
      </c>
      <c r="DA39" s="132"/>
      <c r="DB39" s="154">
        <f>DB37-DB38</f>
        <v>-5129</v>
      </c>
      <c r="DC39" s="132"/>
      <c r="DD39" s="155">
        <f>DD37-DD38</f>
        <v>49375</v>
      </c>
      <c r="DE39" s="132"/>
      <c r="DF39" s="131">
        <f>DF37-DF38</f>
        <v>27909</v>
      </c>
      <c r="DG39" s="132"/>
      <c r="DH39" s="154">
        <f>DH37-DH38</f>
        <v>11839</v>
      </c>
      <c r="DI39" s="132"/>
      <c r="DJ39" s="155">
        <f>DJ37-DJ38</f>
        <v>39749</v>
      </c>
      <c r="DK39" s="132"/>
      <c r="DL39" s="154">
        <f>DL37-DL38</f>
        <v>-298335</v>
      </c>
      <c r="DM39" s="132"/>
      <c r="DN39" s="155">
        <f>DN37-DN38</f>
        <v>-258587</v>
      </c>
      <c r="DO39" s="132"/>
      <c r="DP39" s="154">
        <f>DP37-DP38</f>
        <v>273618</v>
      </c>
      <c r="DQ39" s="132"/>
      <c r="DR39" s="155">
        <f>DR37-DR38</f>
        <v>15030</v>
      </c>
      <c r="DS39" s="132"/>
      <c r="DT39" s="131">
        <f>DT37-DT38</f>
        <v>54992</v>
      </c>
      <c r="DU39" s="132"/>
      <c r="DV39" s="154">
        <f>DV37-DV38</f>
        <v>51533</v>
      </c>
      <c r="DW39" s="132"/>
      <c r="DX39" s="155">
        <f>DX37-DX38</f>
        <v>106525</v>
      </c>
      <c r="DY39" s="132"/>
      <c r="DZ39" s="154">
        <f>DZ37-DZ38</f>
        <v>36523</v>
      </c>
      <c r="EA39" s="132"/>
      <c r="EB39" s="155">
        <f>EB37-EB38</f>
        <v>143047</v>
      </c>
      <c r="EC39" s="132"/>
      <c r="ED39" s="154">
        <f>ED37-ED38</f>
        <v>21078</v>
      </c>
      <c r="EE39" s="132"/>
      <c r="EF39" s="155">
        <f>EF37-EF38</f>
        <v>164125</v>
      </c>
      <c r="EG39" s="132"/>
      <c r="EH39" s="131">
        <f>EH37-EH38</f>
        <v>58230</v>
      </c>
      <c r="EI39" s="132"/>
      <c r="EJ39" s="154">
        <f>EJ37-EJ38</f>
        <v>32028</v>
      </c>
      <c r="EK39" s="132"/>
      <c r="EL39" s="155">
        <f>EL37-EL38</f>
        <v>90258</v>
      </c>
      <c r="EM39" s="132"/>
      <c r="EN39" s="154">
        <f>EN37-EN38</f>
        <v>24471</v>
      </c>
      <c r="EO39" s="132"/>
      <c r="EP39" s="155">
        <f>EP37-EP38</f>
        <v>114729</v>
      </c>
    </row>
    <row r="40" spans="2:146">
      <c r="B40" s="160"/>
      <c r="C40" s="116" t="s">
        <v>53</v>
      </c>
      <c r="D40" s="116"/>
      <c r="E40" s="150"/>
      <c r="F40" s="131">
        <v>15056</v>
      </c>
      <c r="G40" s="132"/>
      <c r="H40" s="131">
        <v>25083</v>
      </c>
      <c r="I40" s="132"/>
      <c r="J40" s="131">
        <v>21768</v>
      </c>
      <c r="K40" s="132"/>
      <c r="L40" s="131">
        <v>5719</v>
      </c>
      <c r="M40" s="132"/>
      <c r="N40" s="163">
        <f t="shared" si="36"/>
        <v>5219</v>
      </c>
      <c r="O40" s="132"/>
      <c r="P40" s="155">
        <v>10938</v>
      </c>
      <c r="Q40" s="132"/>
      <c r="R40" s="163">
        <f t="shared" si="37"/>
        <v>5920</v>
      </c>
      <c r="S40" s="132"/>
      <c r="T40" s="155">
        <v>16858</v>
      </c>
      <c r="U40" s="132"/>
      <c r="V40" s="163">
        <f t="shared" si="38"/>
        <v>6226</v>
      </c>
      <c r="W40" s="132"/>
      <c r="X40" s="155">
        <v>23084</v>
      </c>
      <c r="Y40" s="132"/>
      <c r="Z40" s="131">
        <v>5269</v>
      </c>
      <c r="AA40" s="132"/>
      <c r="AB40" s="163">
        <f t="shared" si="39"/>
        <v>5993</v>
      </c>
      <c r="AC40" s="132"/>
      <c r="AD40" s="155">
        <v>11262</v>
      </c>
      <c r="AE40" s="132"/>
      <c r="AF40" s="163">
        <f t="shared" si="40"/>
        <v>7367</v>
      </c>
      <c r="AG40" s="132"/>
      <c r="AH40" s="155">
        <v>18629</v>
      </c>
      <c r="AI40" s="97"/>
      <c r="AJ40" s="163">
        <f t="shared" si="41"/>
        <v>5074</v>
      </c>
      <c r="AK40" s="132"/>
      <c r="AL40" s="155">
        <v>23703</v>
      </c>
      <c r="AM40" s="97"/>
      <c r="AN40" s="131">
        <v>6520</v>
      </c>
      <c r="AO40" s="97"/>
      <c r="AP40" s="163">
        <f t="shared" si="42"/>
        <v>6563</v>
      </c>
      <c r="AQ40" s="132"/>
      <c r="AR40" s="155">
        <v>13083</v>
      </c>
      <c r="AS40" s="132"/>
      <c r="AT40" s="163">
        <f t="shared" si="43"/>
        <v>6689</v>
      </c>
      <c r="AU40" s="132"/>
      <c r="AV40" s="155">
        <v>19772</v>
      </c>
      <c r="AW40" s="97"/>
      <c r="AX40" s="163">
        <f t="shared" si="44"/>
        <v>10298</v>
      </c>
      <c r="AY40" s="132"/>
      <c r="AZ40" s="155">
        <v>30070</v>
      </c>
      <c r="BA40" s="97"/>
      <c r="BB40" s="156">
        <v>5796</v>
      </c>
      <c r="BC40" s="114"/>
      <c r="BD40" s="163">
        <f t="shared" si="45"/>
        <v>284</v>
      </c>
      <c r="BE40" s="157"/>
      <c r="BF40" s="158">
        <v>6080</v>
      </c>
      <c r="BG40" s="157"/>
      <c r="BH40" s="163">
        <f t="shared" si="46"/>
        <v>258</v>
      </c>
      <c r="BI40" s="157"/>
      <c r="BJ40" s="158">
        <v>6338</v>
      </c>
      <c r="BK40" s="97"/>
      <c r="BL40" s="163">
        <f t="shared" si="47"/>
        <v>-1854</v>
      </c>
      <c r="BM40" s="157"/>
      <c r="BN40" s="158">
        <v>4484</v>
      </c>
      <c r="BO40" s="97"/>
      <c r="BP40" s="156">
        <v>-1078</v>
      </c>
      <c r="BQ40" s="97"/>
      <c r="BR40" s="163">
        <f t="shared" si="48"/>
        <v>-662</v>
      </c>
      <c r="BS40" s="157"/>
      <c r="BT40" s="158">
        <v>-1740</v>
      </c>
      <c r="BU40" s="97"/>
      <c r="BV40" s="163">
        <f t="shared" ref="BV40" si="54">BX40-BT40</f>
        <v>-1606</v>
      </c>
      <c r="BW40" s="157"/>
      <c r="BX40" s="158">
        <v>-3346</v>
      </c>
      <c r="BY40" s="97"/>
      <c r="BZ40" s="163">
        <f t="shared" ref="BZ40" si="55">CB40-BX40</f>
        <v>-764</v>
      </c>
      <c r="CA40" s="157"/>
      <c r="CB40" s="158">
        <v>-4110</v>
      </c>
      <c r="CC40" s="97"/>
      <c r="CD40" s="156">
        <v>4926</v>
      </c>
      <c r="CE40" s="97"/>
      <c r="CF40" s="163">
        <f t="shared" ref="CF40" si="56">CH40-CD40</f>
        <v>558</v>
      </c>
      <c r="CG40" s="157"/>
      <c r="CH40" s="158">
        <v>5484</v>
      </c>
      <c r="CI40" s="97"/>
      <c r="CJ40" s="163">
        <f t="shared" ref="CJ40" si="57">CL40-CH40</f>
        <v>1427</v>
      </c>
      <c r="CK40" s="157"/>
      <c r="CL40" s="158">
        <v>6911</v>
      </c>
      <c r="CM40" s="97"/>
      <c r="CN40" s="163">
        <f t="shared" ref="CN40" si="58">CP40-CL40</f>
        <v>-963</v>
      </c>
      <c r="CO40" s="157"/>
      <c r="CP40" s="158">
        <v>5948</v>
      </c>
      <c r="CQ40" s="97"/>
      <c r="CR40" s="156">
        <v>637</v>
      </c>
      <c r="CS40" s="97"/>
      <c r="CT40" s="163">
        <v>-189</v>
      </c>
      <c r="CU40" s="157"/>
      <c r="CV40" s="158">
        <v>448</v>
      </c>
      <c r="CW40" s="97"/>
      <c r="CX40" s="163">
        <v>678</v>
      </c>
      <c r="CY40" s="157"/>
      <c r="CZ40" s="158">
        <v>1125</v>
      </c>
      <c r="DA40" s="97"/>
      <c r="DB40" s="163">
        <v>623</v>
      </c>
      <c r="DC40" s="157"/>
      <c r="DD40" s="158">
        <v>1748</v>
      </c>
      <c r="DE40" s="97"/>
      <c r="DF40" s="156">
        <v>1481</v>
      </c>
      <c r="DG40" s="97"/>
      <c r="DH40" s="163">
        <v>204</v>
      </c>
      <c r="DI40" s="157"/>
      <c r="DJ40" s="158">
        <v>1686</v>
      </c>
      <c r="DK40" s="97"/>
      <c r="DL40" s="163">
        <v>615</v>
      </c>
      <c r="DM40" s="157"/>
      <c r="DN40" s="158">
        <v>2300</v>
      </c>
      <c r="DO40" s="97"/>
      <c r="DP40" s="163">
        <v>425</v>
      </c>
      <c r="DQ40" s="157"/>
      <c r="DR40" s="158">
        <v>2725</v>
      </c>
      <c r="DS40" s="97"/>
      <c r="DT40" s="156">
        <v>10343</v>
      </c>
      <c r="DU40" s="97"/>
      <c r="DV40" s="163">
        <v>2975</v>
      </c>
      <c r="DW40" s="157"/>
      <c r="DX40" s="158">
        <v>13318</v>
      </c>
      <c r="DY40" s="97"/>
      <c r="DZ40" s="163">
        <v>863</v>
      </c>
      <c r="EA40" s="157"/>
      <c r="EB40" s="158">
        <v>14181</v>
      </c>
      <c r="EC40" s="97"/>
      <c r="ED40" s="163">
        <v>436</v>
      </c>
      <c r="EE40" s="157"/>
      <c r="EF40" s="158">
        <v>14617</v>
      </c>
      <c r="EG40" s="97"/>
      <c r="EH40" s="156">
        <v>3759</v>
      </c>
      <c r="EI40" s="97"/>
      <c r="EJ40" s="163">
        <v>703</v>
      </c>
      <c r="EK40" s="157"/>
      <c r="EL40" s="158">
        <v>4462</v>
      </c>
      <c r="EM40" s="97"/>
      <c r="EN40" s="163">
        <v>1110</v>
      </c>
      <c r="EO40" s="157"/>
      <c r="EP40" s="158">
        <v>5572</v>
      </c>
    </row>
    <row r="41" spans="2:146" ht="13.5" thickBot="1">
      <c r="B41" s="165" t="s">
        <v>81</v>
      </c>
      <c r="C41" s="166"/>
      <c r="D41" s="166"/>
      <c r="E41" s="166"/>
      <c r="F41" s="167">
        <f>F39-F40</f>
        <v>308295</v>
      </c>
      <c r="G41" s="119"/>
      <c r="H41" s="167">
        <f>H39-H40</f>
        <v>35705</v>
      </c>
      <c r="I41" s="119"/>
      <c r="J41" s="167">
        <f>J39-J40</f>
        <v>209547</v>
      </c>
      <c r="K41" s="119"/>
      <c r="L41" s="167">
        <f>L39-L40</f>
        <v>48306</v>
      </c>
      <c r="M41" s="119"/>
      <c r="N41" s="168">
        <f>N39-N40</f>
        <v>41690</v>
      </c>
      <c r="O41" s="119"/>
      <c r="P41" s="169">
        <f>P39-P40</f>
        <v>89996</v>
      </c>
      <c r="Q41" s="119"/>
      <c r="R41" s="168">
        <f>R39-R40</f>
        <v>38296</v>
      </c>
      <c r="S41" s="119"/>
      <c r="T41" s="169">
        <f>T39-T40</f>
        <v>128292</v>
      </c>
      <c r="U41" s="119"/>
      <c r="V41" s="168">
        <f>V39-V40</f>
        <v>7782</v>
      </c>
      <c r="W41" s="119"/>
      <c r="X41" s="169">
        <f>X39-X40</f>
        <v>136074</v>
      </c>
      <c r="Y41" s="119"/>
      <c r="Z41" s="167">
        <f>Z39-Z40</f>
        <v>35161</v>
      </c>
      <c r="AA41" s="119"/>
      <c r="AB41" s="168">
        <f>AB39-AB40</f>
        <v>74939</v>
      </c>
      <c r="AC41" s="119"/>
      <c r="AD41" s="169">
        <f>AD39-AD40</f>
        <v>110100</v>
      </c>
      <c r="AE41" s="119"/>
      <c r="AF41" s="168">
        <f>AF39-AF40</f>
        <v>62140</v>
      </c>
      <c r="AG41" s="119"/>
      <c r="AH41" s="169">
        <f>AH39-AH40</f>
        <v>172240</v>
      </c>
      <c r="AI41" s="119"/>
      <c r="AJ41" s="168">
        <f>AJ39-AJ40</f>
        <v>2801</v>
      </c>
      <c r="AK41" s="119"/>
      <c r="AL41" s="169">
        <f>AL39-AL40</f>
        <v>175041</v>
      </c>
      <c r="AM41" s="119"/>
      <c r="AN41" s="167">
        <f>AN39-AN40</f>
        <v>62492</v>
      </c>
      <c r="AO41" s="125"/>
      <c r="AP41" s="168">
        <f>AP39-AP40</f>
        <v>52685</v>
      </c>
      <c r="AQ41" s="119"/>
      <c r="AR41" s="169">
        <f>AR39-AR40</f>
        <v>115177</v>
      </c>
      <c r="AS41" s="119"/>
      <c r="AT41" s="168">
        <f>AT39-AT40</f>
        <v>35451</v>
      </c>
      <c r="AU41" s="119"/>
      <c r="AV41" s="169">
        <f>AV39-AV40</f>
        <v>150628</v>
      </c>
      <c r="AW41" s="119"/>
      <c r="AX41" s="168">
        <f>AX39-AX40</f>
        <v>-39622</v>
      </c>
      <c r="AY41" s="119"/>
      <c r="AZ41" s="169">
        <f>AZ39-AZ40</f>
        <v>111006</v>
      </c>
      <c r="BA41" s="125"/>
      <c r="BB41" s="167">
        <f>BB39-BB40</f>
        <v>4914</v>
      </c>
      <c r="BC41" s="170"/>
      <c r="BD41" s="168">
        <f>BD39-BD40</f>
        <v>143391</v>
      </c>
      <c r="BE41" s="119"/>
      <c r="BF41" s="169">
        <f>BF39-BF40</f>
        <v>148305</v>
      </c>
      <c r="BG41" s="119"/>
      <c r="BH41" s="168">
        <f>BH39-BH40</f>
        <v>-9859</v>
      </c>
      <c r="BI41" s="119"/>
      <c r="BJ41" s="169">
        <f>BJ39-BJ40</f>
        <v>138446</v>
      </c>
      <c r="BK41" s="119"/>
      <c r="BL41" s="168">
        <f>BL39-BL40</f>
        <v>1592</v>
      </c>
      <c r="BM41" s="171"/>
      <c r="BN41" s="169">
        <f>BN39-BN40</f>
        <v>140038</v>
      </c>
      <c r="BO41" s="119"/>
      <c r="BP41" s="167">
        <f>BP39-BP40</f>
        <v>19482</v>
      </c>
      <c r="BQ41" s="119"/>
      <c r="BR41" s="168">
        <f>BR39-BR40</f>
        <v>-18789</v>
      </c>
      <c r="BS41" s="119"/>
      <c r="BT41" s="169">
        <f>BT39-BT40</f>
        <v>693</v>
      </c>
      <c r="BU41" s="119"/>
      <c r="BV41" s="168">
        <f>BV39-BV40</f>
        <v>-22165</v>
      </c>
      <c r="BW41" s="119"/>
      <c r="BX41" s="169">
        <f>BX39-BX40</f>
        <v>-21472</v>
      </c>
      <c r="BY41" s="119"/>
      <c r="BZ41" s="168">
        <f>BZ39-BZ40</f>
        <v>-21340</v>
      </c>
      <c r="CA41" s="119"/>
      <c r="CB41" s="169">
        <f>CB39-CB40</f>
        <v>-42812</v>
      </c>
      <c r="CC41" s="119"/>
      <c r="CD41" s="167">
        <f>CD39-CD40</f>
        <v>160064</v>
      </c>
      <c r="CE41" s="119"/>
      <c r="CF41" s="168">
        <f>CF39-CF40</f>
        <v>19352</v>
      </c>
      <c r="CG41" s="119"/>
      <c r="CH41" s="169">
        <f>CH39-CH40</f>
        <v>179416</v>
      </c>
      <c r="CI41" s="119"/>
      <c r="CJ41" s="168">
        <f>CJ39-CJ40</f>
        <v>63594</v>
      </c>
      <c r="CK41" s="119"/>
      <c r="CL41" s="169">
        <f>CL39-CL40</f>
        <v>243010</v>
      </c>
      <c r="CM41" s="119"/>
      <c r="CN41" s="168">
        <f>CN39-CN40</f>
        <v>-1663</v>
      </c>
      <c r="CO41" s="119"/>
      <c r="CP41" s="169">
        <f>CP39-CP40</f>
        <v>241347</v>
      </c>
      <c r="CQ41" s="119"/>
      <c r="CR41" s="167">
        <f>CR39-CR40</f>
        <v>8797</v>
      </c>
      <c r="CS41" s="119"/>
      <c r="CT41" s="168">
        <f>CT39-CT40</f>
        <v>27445</v>
      </c>
      <c r="CU41" s="119"/>
      <c r="CV41" s="169">
        <f>CV39-CV40</f>
        <v>36242</v>
      </c>
      <c r="CW41" s="119"/>
      <c r="CX41" s="168">
        <f>CX39-CX40</f>
        <v>17137</v>
      </c>
      <c r="CY41" s="119"/>
      <c r="CZ41" s="169">
        <f>CZ39-CZ40</f>
        <v>53379</v>
      </c>
      <c r="DA41" s="119"/>
      <c r="DB41" s="168">
        <f>DB39-DB40</f>
        <v>-5752</v>
      </c>
      <c r="DC41" s="119"/>
      <c r="DD41" s="169">
        <f>DD39-DD40</f>
        <v>47627</v>
      </c>
      <c r="DE41" s="119"/>
      <c r="DF41" s="167">
        <f>DF39-DF40</f>
        <v>26428</v>
      </c>
      <c r="DG41" s="119"/>
      <c r="DH41" s="168">
        <f>DH39-DH40</f>
        <v>11635</v>
      </c>
      <c r="DI41" s="119"/>
      <c r="DJ41" s="169">
        <f>DJ39-DJ40</f>
        <v>38063</v>
      </c>
      <c r="DK41" s="119"/>
      <c r="DL41" s="168">
        <f>DL39-DL40</f>
        <v>-298950</v>
      </c>
      <c r="DM41" s="119"/>
      <c r="DN41" s="169">
        <f>DN39-DN40</f>
        <v>-260887</v>
      </c>
      <c r="DO41" s="119"/>
      <c r="DP41" s="168">
        <f>DP39-DP40</f>
        <v>273193</v>
      </c>
      <c r="DQ41" s="119"/>
      <c r="DR41" s="169">
        <f>DR39-DR40</f>
        <v>12305</v>
      </c>
      <c r="DS41" s="119"/>
      <c r="DT41" s="167">
        <f>DT39-DT40</f>
        <v>44649</v>
      </c>
      <c r="DU41" s="119"/>
      <c r="DV41" s="168">
        <f>DV39-DV40</f>
        <v>48558</v>
      </c>
      <c r="DW41" s="119"/>
      <c r="DX41" s="169">
        <f>DX39-DX40</f>
        <v>93207</v>
      </c>
      <c r="DY41" s="119"/>
      <c r="DZ41" s="168">
        <f>DZ39-DZ40</f>
        <v>35660</v>
      </c>
      <c r="EA41" s="119"/>
      <c r="EB41" s="169">
        <f>EB39-EB40</f>
        <v>128866</v>
      </c>
      <c r="EC41" s="119"/>
      <c r="ED41" s="168">
        <f>ED39-ED40</f>
        <v>20642</v>
      </c>
      <c r="EE41" s="119"/>
      <c r="EF41" s="169">
        <f>EF39-EF40</f>
        <v>149508</v>
      </c>
      <c r="EG41" s="119"/>
      <c r="EH41" s="167">
        <f>EH39-EH40</f>
        <v>54471</v>
      </c>
      <c r="EI41" s="119"/>
      <c r="EJ41" s="168">
        <f>EJ39-EJ40</f>
        <v>31325</v>
      </c>
      <c r="EK41" s="119"/>
      <c r="EL41" s="169">
        <f>EL39-EL40</f>
        <v>85796</v>
      </c>
      <c r="EM41" s="119"/>
      <c r="EN41" s="168">
        <f>EN39-EN40</f>
        <v>23361</v>
      </c>
      <c r="EO41" s="119"/>
      <c r="EP41" s="169">
        <f>EP39-EP40</f>
        <v>109157</v>
      </c>
    </row>
    <row r="42" spans="2:146" ht="13.5" thickTop="1">
      <c r="B42" s="149"/>
      <c r="C42" s="107"/>
      <c r="D42" s="107"/>
      <c r="E42" s="107"/>
      <c r="F42" s="172"/>
      <c r="G42" s="173"/>
      <c r="H42" s="172"/>
      <c r="I42" s="173"/>
      <c r="J42" s="172"/>
      <c r="K42" s="173"/>
      <c r="L42" s="172"/>
      <c r="M42" s="173"/>
      <c r="N42" s="174"/>
      <c r="O42" s="173"/>
      <c r="P42" s="175"/>
      <c r="Q42" s="173"/>
      <c r="R42" s="174"/>
      <c r="S42" s="173"/>
      <c r="T42" s="175"/>
      <c r="U42" s="173"/>
      <c r="V42" s="174"/>
      <c r="W42" s="173"/>
      <c r="X42" s="175"/>
      <c r="Y42" s="173"/>
      <c r="Z42" s="172"/>
      <c r="AA42" s="173"/>
      <c r="AB42" s="174"/>
      <c r="AC42" s="173"/>
      <c r="AD42" s="175"/>
      <c r="AE42" s="173"/>
      <c r="AF42" s="174"/>
      <c r="AG42" s="173"/>
      <c r="AH42" s="175"/>
      <c r="AI42" s="97"/>
      <c r="AJ42" s="174"/>
      <c r="AK42" s="173"/>
      <c r="AL42" s="175"/>
      <c r="AM42" s="97"/>
      <c r="AN42" s="172"/>
      <c r="AO42" s="97"/>
      <c r="AP42" s="174"/>
      <c r="AQ42" s="173"/>
      <c r="AR42" s="175"/>
      <c r="AS42" s="173"/>
      <c r="AT42" s="174"/>
      <c r="AU42" s="173"/>
      <c r="AV42" s="175"/>
      <c r="AW42" s="97"/>
      <c r="AX42" s="174"/>
      <c r="AY42" s="173"/>
      <c r="AZ42" s="175"/>
      <c r="BA42" s="97"/>
      <c r="BB42" s="176"/>
      <c r="BC42" s="114"/>
      <c r="BD42" s="177"/>
      <c r="BE42" s="178"/>
      <c r="BF42" s="179"/>
      <c r="BG42" s="178"/>
      <c r="BH42" s="177"/>
      <c r="BI42" s="178"/>
      <c r="BJ42" s="179"/>
      <c r="BK42" s="97"/>
      <c r="BL42" s="177"/>
      <c r="BM42" s="178"/>
      <c r="BN42" s="179"/>
      <c r="BO42" s="97"/>
      <c r="BP42" s="176"/>
      <c r="BQ42" s="97"/>
      <c r="BR42" s="135">
        <v>0</v>
      </c>
      <c r="BS42" s="178"/>
      <c r="BT42" s="180">
        <v>0</v>
      </c>
      <c r="BU42" s="97"/>
      <c r="BV42" s="135">
        <v>0</v>
      </c>
      <c r="BW42" s="178"/>
      <c r="BX42" s="180">
        <v>0</v>
      </c>
      <c r="BY42" s="97"/>
      <c r="BZ42" s="135">
        <v>0</v>
      </c>
      <c r="CA42" s="178"/>
      <c r="CB42" s="180">
        <v>0</v>
      </c>
      <c r="CC42" s="97"/>
      <c r="CD42" s="176"/>
      <c r="CE42" s="97"/>
      <c r="CF42" s="135">
        <v>0</v>
      </c>
      <c r="CG42" s="178"/>
      <c r="CH42" s="180">
        <v>0</v>
      </c>
      <c r="CI42" s="97"/>
      <c r="CJ42" s="135">
        <v>0</v>
      </c>
      <c r="CK42" s="178"/>
      <c r="CL42" s="180">
        <v>0</v>
      </c>
      <c r="CM42" s="97"/>
      <c r="CN42" s="135">
        <v>0</v>
      </c>
      <c r="CO42" s="178"/>
      <c r="CP42" s="180">
        <v>0</v>
      </c>
      <c r="CQ42" s="97"/>
      <c r="CR42" s="176"/>
      <c r="CS42" s="97"/>
      <c r="CT42" s="135">
        <v>0</v>
      </c>
      <c r="CU42" s="178"/>
      <c r="CV42" s="180">
        <v>0</v>
      </c>
      <c r="CW42" s="97"/>
      <c r="CX42" s="135">
        <v>0</v>
      </c>
      <c r="CY42" s="178"/>
      <c r="CZ42" s="180">
        <v>0</v>
      </c>
      <c r="DA42" s="97"/>
      <c r="DB42" s="135">
        <v>0</v>
      </c>
      <c r="DC42" s="178"/>
      <c r="DD42" s="180">
        <v>0</v>
      </c>
      <c r="DE42" s="97"/>
      <c r="DF42" s="176"/>
      <c r="DG42" s="97"/>
      <c r="DH42" s="135"/>
      <c r="DI42" s="178"/>
      <c r="DJ42" s="180"/>
      <c r="DK42" s="97"/>
      <c r="DL42" s="135"/>
      <c r="DM42" s="178"/>
      <c r="DN42" s="180"/>
      <c r="DO42" s="97"/>
      <c r="DP42" s="135">
        <v>0</v>
      </c>
      <c r="DQ42" s="178"/>
      <c r="DR42" s="180">
        <v>0</v>
      </c>
      <c r="DS42" s="97"/>
      <c r="DT42" s="176"/>
      <c r="DU42" s="97"/>
      <c r="DV42" s="135"/>
      <c r="DW42" s="178"/>
      <c r="DX42" s="180"/>
      <c r="DY42" s="97"/>
      <c r="DZ42" s="135"/>
      <c r="EA42" s="178"/>
      <c r="EB42" s="180"/>
      <c r="EC42" s="97"/>
      <c r="ED42" s="135">
        <v>0</v>
      </c>
      <c r="EE42" s="178"/>
      <c r="EF42" s="180">
        <v>0</v>
      </c>
      <c r="EG42" s="97"/>
      <c r="EH42" s="176"/>
      <c r="EI42" s="97"/>
      <c r="EJ42" s="135"/>
      <c r="EK42" s="178"/>
      <c r="EL42" s="180"/>
      <c r="EM42" s="97"/>
      <c r="EN42" s="135"/>
      <c r="EO42" s="178"/>
      <c r="EP42" s="180"/>
    </row>
    <row r="43" spans="2:146">
      <c r="B43" s="160" t="s">
        <v>82</v>
      </c>
      <c r="C43" s="107"/>
      <c r="D43" s="107"/>
      <c r="E43" s="107"/>
      <c r="F43" s="181">
        <v>87730</v>
      </c>
      <c r="G43" s="182"/>
      <c r="H43" s="181">
        <v>87457</v>
      </c>
      <c r="I43" s="182"/>
      <c r="J43" s="181">
        <v>86946</v>
      </c>
      <c r="K43" s="182"/>
      <c r="L43" s="181">
        <v>86576</v>
      </c>
      <c r="M43" s="182"/>
      <c r="N43" s="183">
        <v>86425</v>
      </c>
      <c r="O43" s="182"/>
      <c r="P43" s="184">
        <v>86500</v>
      </c>
      <c r="Q43" s="182"/>
      <c r="R43" s="183">
        <v>85992</v>
      </c>
      <c r="S43" s="182"/>
      <c r="T43" s="184">
        <v>86329</v>
      </c>
      <c r="U43" s="182"/>
      <c r="V43" s="183">
        <v>85668</v>
      </c>
      <c r="W43" s="182"/>
      <c r="X43" s="184">
        <v>86128</v>
      </c>
      <c r="Y43" s="182"/>
      <c r="Z43" s="181">
        <v>85484</v>
      </c>
      <c r="AA43" s="182"/>
      <c r="AB43" s="183">
        <v>84930</v>
      </c>
      <c r="AC43" s="182"/>
      <c r="AD43" s="184">
        <v>85206</v>
      </c>
      <c r="AE43" s="182"/>
      <c r="AF43" s="183">
        <v>84547</v>
      </c>
      <c r="AG43" s="182"/>
      <c r="AH43" s="184">
        <v>84984</v>
      </c>
      <c r="AI43" s="97"/>
      <c r="AJ43" s="183">
        <v>84559</v>
      </c>
      <c r="AK43" s="182"/>
      <c r="AL43" s="184">
        <v>84877</v>
      </c>
      <c r="AM43" s="97"/>
      <c r="AN43" s="181">
        <v>84570</v>
      </c>
      <c r="AO43" s="97"/>
      <c r="AP43" s="183">
        <v>84707</v>
      </c>
      <c r="AQ43" s="182"/>
      <c r="AR43" s="184">
        <v>84638</v>
      </c>
      <c r="AS43" s="182"/>
      <c r="AT43" s="183">
        <v>84737</v>
      </c>
      <c r="AU43" s="182"/>
      <c r="AV43" s="184">
        <v>84671</v>
      </c>
      <c r="AW43" s="97"/>
      <c r="AX43" s="183">
        <v>84568</v>
      </c>
      <c r="AY43" s="182"/>
      <c r="AZ43" s="184">
        <v>84645</v>
      </c>
      <c r="BA43" s="97"/>
      <c r="BB43" s="185">
        <v>83838</v>
      </c>
      <c r="BC43" s="114"/>
      <c r="BD43" s="186">
        <v>83845</v>
      </c>
      <c r="BE43" s="187"/>
      <c r="BF43" s="188">
        <v>83842</v>
      </c>
      <c r="BG43" s="187"/>
      <c r="BH43" s="186">
        <v>84005</v>
      </c>
      <c r="BI43" s="187"/>
      <c r="BJ43" s="188">
        <v>83897</v>
      </c>
      <c r="BK43" s="97"/>
      <c r="BL43" s="186">
        <v>84181</v>
      </c>
      <c r="BM43" s="187"/>
      <c r="BN43" s="188">
        <v>83968</v>
      </c>
      <c r="BO43" s="97"/>
      <c r="BP43" s="185">
        <v>84213</v>
      </c>
      <c r="BQ43" s="97"/>
      <c r="BR43" s="135">
        <v>84341</v>
      </c>
      <c r="BS43" s="187"/>
      <c r="BT43" s="188">
        <v>84277</v>
      </c>
      <c r="BU43" s="97"/>
      <c r="BV43" s="135">
        <v>84233</v>
      </c>
      <c r="BW43" s="187"/>
      <c r="BX43" s="188">
        <v>84262</v>
      </c>
      <c r="BY43" s="97"/>
      <c r="BZ43" s="135">
        <v>84066</v>
      </c>
      <c r="CA43" s="187"/>
      <c r="CB43" s="188">
        <v>84213</v>
      </c>
      <c r="CC43" s="97"/>
      <c r="CD43" s="185">
        <v>84042</v>
      </c>
      <c r="CE43" s="97"/>
      <c r="CF43" s="135">
        <v>84293</v>
      </c>
      <c r="CG43" s="187"/>
      <c r="CH43" s="188">
        <v>84168</v>
      </c>
      <c r="CI43" s="97"/>
      <c r="CJ43" s="135">
        <v>84333</v>
      </c>
      <c r="CK43" s="187"/>
      <c r="CL43" s="188">
        <v>84224</v>
      </c>
      <c r="CM43" s="97"/>
      <c r="CN43" s="135">
        <v>84320</v>
      </c>
      <c r="CO43" s="187"/>
      <c r="CP43" s="188">
        <v>84248</v>
      </c>
      <c r="CQ43" s="97"/>
      <c r="CR43" s="185">
        <v>84351</v>
      </c>
      <c r="CS43" s="97"/>
      <c r="CT43" s="135">
        <v>84770</v>
      </c>
      <c r="CU43" s="187"/>
      <c r="CV43" s="188">
        <v>84560</v>
      </c>
      <c r="CW43" s="97"/>
      <c r="CX43" s="135">
        <v>84820</v>
      </c>
      <c r="CY43" s="187"/>
      <c r="CZ43" s="188">
        <v>84648</v>
      </c>
      <c r="DA43" s="97"/>
      <c r="DB43" s="135">
        <v>84780</v>
      </c>
      <c r="DC43" s="187"/>
      <c r="DD43" s="188">
        <v>84686</v>
      </c>
      <c r="DE43" s="97"/>
      <c r="DF43" s="185">
        <v>84879</v>
      </c>
      <c r="DG43" s="97"/>
      <c r="DH43" s="135">
        <v>85071</v>
      </c>
      <c r="DI43" s="187"/>
      <c r="DJ43" s="188">
        <v>84976</v>
      </c>
      <c r="DK43" s="97"/>
      <c r="DL43" s="135">
        <v>85140</v>
      </c>
      <c r="DM43" s="187"/>
      <c r="DN43" s="188">
        <v>85031</v>
      </c>
      <c r="DO43" s="97"/>
      <c r="DP43" s="135">
        <v>85145</v>
      </c>
      <c r="DQ43" s="187"/>
      <c r="DR43" s="188">
        <v>85060</v>
      </c>
      <c r="DS43" s="97"/>
      <c r="DT43" s="185">
        <v>85184</v>
      </c>
      <c r="DU43" s="97"/>
      <c r="DV43" s="135">
        <v>85536</v>
      </c>
      <c r="DW43" s="187"/>
      <c r="DX43" s="188">
        <v>85361</v>
      </c>
      <c r="DY43" s="97"/>
      <c r="DZ43" s="135">
        <v>85730</v>
      </c>
      <c r="EA43" s="187"/>
      <c r="EB43" s="188">
        <v>85485</v>
      </c>
      <c r="EC43" s="97"/>
      <c r="ED43" s="135">
        <v>86193</v>
      </c>
      <c r="EE43" s="187"/>
      <c r="EF43" s="188">
        <v>85664</v>
      </c>
      <c r="EG43" s="97"/>
      <c r="EH43" s="185">
        <v>86369</v>
      </c>
      <c r="EI43" s="97"/>
      <c r="EJ43" s="135">
        <v>86693</v>
      </c>
      <c r="EK43" s="187"/>
      <c r="EL43" s="188">
        <v>86532</v>
      </c>
      <c r="EM43" s="97"/>
      <c r="EN43" s="135">
        <v>86481</v>
      </c>
      <c r="EO43" s="187"/>
      <c r="EP43" s="188">
        <v>86515</v>
      </c>
    </row>
    <row r="44" spans="2:146">
      <c r="B44" s="160" t="s">
        <v>83</v>
      </c>
      <c r="C44" s="116"/>
      <c r="D44" s="116"/>
      <c r="E44" s="116"/>
      <c r="F44" s="189"/>
      <c r="G44" s="190"/>
      <c r="H44" s="189"/>
      <c r="I44" s="190"/>
      <c r="J44" s="189"/>
      <c r="K44" s="190"/>
      <c r="L44" s="189"/>
      <c r="M44" s="190"/>
      <c r="N44" s="191"/>
      <c r="O44" s="190"/>
      <c r="P44" s="192"/>
      <c r="Q44" s="190"/>
      <c r="R44" s="191"/>
      <c r="S44" s="190"/>
      <c r="T44" s="192"/>
      <c r="U44" s="190"/>
      <c r="V44" s="191"/>
      <c r="W44" s="190"/>
      <c r="X44" s="192"/>
      <c r="Y44" s="190"/>
      <c r="Z44" s="189"/>
      <c r="AA44" s="190"/>
      <c r="AB44" s="191"/>
      <c r="AC44" s="190"/>
      <c r="AD44" s="192"/>
      <c r="AE44" s="190"/>
      <c r="AF44" s="191"/>
      <c r="AG44" s="190"/>
      <c r="AH44" s="192"/>
      <c r="AI44" s="97"/>
      <c r="AJ44" s="191"/>
      <c r="AK44" s="190"/>
      <c r="AL44" s="192"/>
      <c r="AM44" s="97"/>
      <c r="AN44" s="189"/>
      <c r="AO44" s="97"/>
      <c r="AP44" s="191"/>
      <c r="AQ44" s="190"/>
      <c r="AR44" s="192"/>
      <c r="AS44" s="190"/>
      <c r="AT44" s="191"/>
      <c r="AU44" s="190"/>
      <c r="AV44" s="192"/>
      <c r="AW44" s="97"/>
      <c r="AX44" s="191"/>
      <c r="AY44" s="190"/>
      <c r="AZ44" s="192"/>
      <c r="BA44" s="97"/>
      <c r="BB44" s="193"/>
      <c r="BC44" s="114"/>
      <c r="BD44" s="194"/>
      <c r="BE44" s="195"/>
      <c r="BF44" s="196"/>
      <c r="BG44" s="195"/>
      <c r="BH44" s="194"/>
      <c r="BI44" s="195"/>
      <c r="BJ44" s="196"/>
      <c r="BK44" s="97"/>
      <c r="BL44" s="194"/>
      <c r="BM44" s="195"/>
      <c r="BN44" s="196"/>
      <c r="BO44" s="97"/>
      <c r="BP44" s="193"/>
      <c r="BQ44" s="97"/>
      <c r="BR44" s="135"/>
      <c r="BS44" s="195"/>
      <c r="BT44" s="196"/>
      <c r="BU44" s="97"/>
      <c r="BV44" s="135"/>
      <c r="BW44" s="195"/>
      <c r="BX44" s="196"/>
      <c r="BY44" s="97"/>
      <c r="BZ44" s="135"/>
      <c r="CA44" s="195"/>
      <c r="CB44" s="196"/>
      <c r="CC44" s="97"/>
      <c r="CD44" s="193"/>
      <c r="CE44" s="97"/>
      <c r="CF44" s="135"/>
      <c r="CG44" s="195"/>
      <c r="CH44" s="196"/>
      <c r="CI44" s="97"/>
      <c r="CJ44" s="135"/>
      <c r="CK44" s="195"/>
      <c r="CL44" s="196"/>
      <c r="CM44" s="97"/>
      <c r="CN44" s="135"/>
      <c r="CO44" s="195"/>
      <c r="CP44" s="196"/>
      <c r="CQ44" s="97"/>
      <c r="CR44" s="193"/>
      <c r="CS44" s="97"/>
      <c r="CT44" s="135"/>
      <c r="CU44" s="195"/>
      <c r="CV44" s="196"/>
      <c r="CW44" s="97"/>
      <c r="CX44" s="135"/>
      <c r="CY44" s="195"/>
      <c r="CZ44" s="196"/>
      <c r="DA44" s="97"/>
      <c r="DB44" s="135"/>
      <c r="DC44" s="195"/>
      <c r="DD44" s="196"/>
      <c r="DE44" s="97"/>
      <c r="DF44" s="193"/>
      <c r="DG44" s="97"/>
      <c r="DH44" s="135"/>
      <c r="DI44" s="195"/>
      <c r="DJ44" s="196"/>
      <c r="DK44" s="97"/>
      <c r="DL44" s="135"/>
      <c r="DM44" s="195"/>
      <c r="DN44" s="196"/>
      <c r="DO44" s="97"/>
      <c r="DP44" s="135"/>
      <c r="DQ44" s="195"/>
      <c r="DR44" s="196"/>
      <c r="DS44" s="97"/>
      <c r="DT44" s="193"/>
      <c r="DU44" s="97"/>
      <c r="DV44" s="135"/>
      <c r="DW44" s="195"/>
      <c r="DX44" s="196"/>
      <c r="DY44" s="97"/>
      <c r="DZ44" s="135"/>
      <c r="EA44" s="195"/>
      <c r="EB44" s="196"/>
      <c r="EC44" s="97"/>
      <c r="ED44" s="135"/>
      <c r="EE44" s="195"/>
      <c r="EF44" s="196"/>
      <c r="EG44" s="97"/>
      <c r="EH44" s="193"/>
      <c r="EI44" s="97"/>
      <c r="EJ44" s="135"/>
      <c r="EK44" s="195"/>
      <c r="EL44" s="196"/>
      <c r="EM44" s="97"/>
      <c r="EN44" s="135"/>
      <c r="EO44" s="195"/>
      <c r="EP44" s="196"/>
    </row>
    <row r="45" spans="2:146">
      <c r="B45" s="160"/>
      <c r="C45" s="151" t="s">
        <v>84</v>
      </c>
      <c r="D45" s="116"/>
      <c r="E45" s="116"/>
      <c r="F45" s="197">
        <v>3.51</v>
      </c>
      <c r="G45" s="198"/>
      <c r="H45" s="197">
        <v>0.41</v>
      </c>
      <c r="I45" s="198"/>
      <c r="J45" s="197">
        <v>2.41</v>
      </c>
      <c r="K45" s="198"/>
      <c r="L45" s="197">
        <v>0.56000000000000005</v>
      </c>
      <c r="M45" s="198"/>
      <c r="N45" s="199">
        <v>0.48</v>
      </c>
      <c r="O45" s="198"/>
      <c r="P45" s="200">
        <v>1.04</v>
      </c>
      <c r="Q45" s="198"/>
      <c r="R45" s="199">
        <v>0.45</v>
      </c>
      <c r="S45" s="198"/>
      <c r="T45" s="200">
        <v>1.49</v>
      </c>
      <c r="U45" s="198"/>
      <c r="V45" s="199">
        <v>0.09</v>
      </c>
      <c r="W45" s="198"/>
      <c r="X45" s="200">
        <v>1.58</v>
      </c>
      <c r="Y45" s="198"/>
      <c r="Z45" s="197">
        <v>0.41</v>
      </c>
      <c r="AA45" s="198"/>
      <c r="AB45" s="199">
        <v>0.88</v>
      </c>
      <c r="AC45" s="198"/>
      <c r="AD45" s="200">
        <v>1.29</v>
      </c>
      <c r="AE45" s="198"/>
      <c r="AF45" s="199">
        <v>0.73</v>
      </c>
      <c r="AG45" s="198"/>
      <c r="AH45" s="200">
        <v>2.0299999999999998</v>
      </c>
      <c r="AI45" s="97"/>
      <c r="AJ45" s="199">
        <v>0.03</v>
      </c>
      <c r="AK45" s="198"/>
      <c r="AL45" s="200">
        <v>2.06</v>
      </c>
      <c r="AM45" s="97"/>
      <c r="AN45" s="197">
        <v>0.74</v>
      </c>
      <c r="AO45" s="97"/>
      <c r="AP45" s="199">
        <v>0.62</v>
      </c>
      <c r="AQ45" s="198"/>
      <c r="AR45" s="200">
        <v>1.36</v>
      </c>
      <c r="AS45" s="198"/>
      <c r="AT45" s="199">
        <v>0.42</v>
      </c>
      <c r="AU45" s="198"/>
      <c r="AV45" s="200">
        <v>1.78</v>
      </c>
      <c r="AW45" s="97"/>
      <c r="AX45" s="199">
        <v>-0.47</v>
      </c>
      <c r="AY45" s="198"/>
      <c r="AZ45" s="200">
        <v>1.31</v>
      </c>
      <c r="BA45" s="97"/>
      <c r="BB45" s="201">
        <v>0.06</v>
      </c>
      <c r="BC45" s="114"/>
      <c r="BD45" s="202">
        <v>1.71</v>
      </c>
      <c r="BE45" s="203"/>
      <c r="BF45" s="204">
        <v>1.77</v>
      </c>
      <c r="BG45" s="203"/>
      <c r="BH45" s="202">
        <v>-0.12</v>
      </c>
      <c r="BI45" s="203"/>
      <c r="BJ45" s="204">
        <v>1.65</v>
      </c>
      <c r="BK45" s="97"/>
      <c r="BL45" s="202">
        <v>0.02</v>
      </c>
      <c r="BM45" s="203"/>
      <c r="BN45" s="204">
        <v>1.67</v>
      </c>
      <c r="BO45" s="97"/>
      <c r="BP45" s="201">
        <v>0.23</v>
      </c>
      <c r="BQ45" s="97"/>
      <c r="BR45" s="205">
        <v>-0.22</v>
      </c>
      <c r="BS45" s="203"/>
      <c r="BT45" s="204">
        <v>0.01</v>
      </c>
      <c r="BU45" s="97"/>
      <c r="BV45" s="205">
        <v>-0.26</v>
      </c>
      <c r="BW45" s="203"/>
      <c r="BX45" s="204">
        <v>-0.25</v>
      </c>
      <c r="BY45" s="97"/>
      <c r="BZ45" s="205">
        <v>-0.25</v>
      </c>
      <c r="CA45" s="203"/>
      <c r="CB45" s="204">
        <v>-0.51</v>
      </c>
      <c r="CC45" s="97"/>
      <c r="CD45" s="201">
        <v>1.9</v>
      </c>
      <c r="CE45" s="97"/>
      <c r="CF45" s="205">
        <v>0.23</v>
      </c>
      <c r="CG45" s="203"/>
      <c r="CH45" s="204">
        <v>2.13</v>
      </c>
      <c r="CI45" s="97"/>
      <c r="CJ45" s="205">
        <v>0.75</v>
      </c>
      <c r="CK45" s="203"/>
      <c r="CL45" s="204">
        <v>2.89</v>
      </c>
      <c r="CM45" s="97"/>
      <c r="CN45" s="205">
        <v>-0.02</v>
      </c>
      <c r="CO45" s="203"/>
      <c r="CP45" s="204">
        <v>2.86</v>
      </c>
      <c r="CQ45" s="97"/>
      <c r="CR45" s="201">
        <v>0.1</v>
      </c>
      <c r="CS45" s="97"/>
      <c r="CT45" s="205">
        <v>0.32</v>
      </c>
      <c r="CU45" s="203"/>
      <c r="CV45" s="204">
        <v>0.43</v>
      </c>
      <c r="CW45" s="97"/>
      <c r="CX45" s="205">
        <v>0.2</v>
      </c>
      <c r="CY45" s="203"/>
      <c r="CZ45" s="204">
        <v>0.63</v>
      </c>
      <c r="DA45" s="97"/>
      <c r="DB45" s="205">
        <v>-7.0000000000000007E-2</v>
      </c>
      <c r="DC45" s="203"/>
      <c r="DD45" s="204">
        <v>0.56000000000000005</v>
      </c>
      <c r="DE45" s="97"/>
      <c r="DF45" s="201">
        <v>0.31</v>
      </c>
      <c r="DG45" s="97"/>
      <c r="DH45" s="205">
        <v>0.14000000000000001</v>
      </c>
      <c r="DI45" s="203"/>
      <c r="DJ45" s="204">
        <v>0.45</v>
      </c>
      <c r="DK45" s="97"/>
      <c r="DL45" s="205">
        <v>-3.51</v>
      </c>
      <c r="DM45" s="203"/>
      <c r="DN45" s="204">
        <v>-3.07</v>
      </c>
      <c r="DO45" s="97"/>
      <c r="DP45" s="205">
        <v>3.21</v>
      </c>
      <c r="DQ45" s="203"/>
      <c r="DR45" s="204">
        <v>0.14000000000000001</v>
      </c>
      <c r="DS45" s="97"/>
      <c r="DT45" s="201">
        <v>0.52</v>
      </c>
      <c r="DU45" s="97"/>
      <c r="DV45" s="205">
        <v>0.56999999999999995</v>
      </c>
      <c r="DW45" s="203"/>
      <c r="DX45" s="204">
        <v>1.0900000000000001</v>
      </c>
      <c r="DY45" s="97"/>
      <c r="DZ45" s="205">
        <v>0.42</v>
      </c>
      <c r="EA45" s="203"/>
      <c r="EB45" s="204">
        <v>1.51</v>
      </c>
      <c r="EC45" s="97"/>
      <c r="ED45" s="205">
        <v>0.24</v>
      </c>
      <c r="EE45" s="203"/>
      <c r="EF45" s="204">
        <v>1.75</v>
      </c>
      <c r="EG45" s="97"/>
      <c r="EH45" s="201">
        <v>0.63</v>
      </c>
      <c r="EI45" s="97"/>
      <c r="EJ45" s="205">
        <v>0.36</v>
      </c>
      <c r="EK45" s="203"/>
      <c r="EL45" s="204">
        <v>0.99</v>
      </c>
      <c r="EM45" s="97"/>
      <c r="EN45" s="205">
        <v>0.27</v>
      </c>
      <c r="EO45" s="203"/>
      <c r="EP45" s="204">
        <v>1.26</v>
      </c>
    </row>
    <row r="46" spans="2:146">
      <c r="B46" s="149"/>
      <c r="C46" s="116"/>
      <c r="D46" s="116"/>
      <c r="E46" s="116"/>
      <c r="F46" s="189"/>
      <c r="G46" s="190"/>
      <c r="H46" s="189"/>
      <c r="I46" s="190"/>
      <c r="J46" s="189"/>
      <c r="K46" s="190"/>
      <c r="L46" s="189"/>
      <c r="M46" s="190"/>
      <c r="N46" s="191"/>
      <c r="O46" s="190"/>
      <c r="P46" s="192"/>
      <c r="Q46" s="190"/>
      <c r="R46" s="191"/>
      <c r="S46" s="190"/>
      <c r="T46" s="192"/>
      <c r="U46" s="190"/>
      <c r="V46" s="191"/>
      <c r="W46" s="190"/>
      <c r="X46" s="192"/>
      <c r="Y46" s="190"/>
      <c r="Z46" s="189"/>
      <c r="AA46" s="190"/>
      <c r="AB46" s="191"/>
      <c r="AC46" s="190"/>
      <c r="AD46" s="192"/>
      <c r="AE46" s="190"/>
      <c r="AF46" s="191"/>
      <c r="AG46" s="190"/>
      <c r="AH46" s="192"/>
      <c r="AI46" s="97"/>
      <c r="AJ46" s="191"/>
      <c r="AK46" s="190"/>
      <c r="AL46" s="192"/>
      <c r="AM46" s="97"/>
      <c r="AN46" s="189"/>
      <c r="AO46" s="97"/>
      <c r="AP46" s="191"/>
      <c r="AQ46" s="190"/>
      <c r="AR46" s="192"/>
      <c r="AS46" s="190"/>
      <c r="AT46" s="191"/>
      <c r="AU46" s="190"/>
      <c r="AV46" s="192"/>
      <c r="AW46" s="97"/>
      <c r="AX46" s="191"/>
      <c r="AY46" s="190"/>
      <c r="AZ46" s="192"/>
      <c r="BA46" s="97"/>
      <c r="BB46" s="193"/>
      <c r="BC46" s="114"/>
      <c r="BD46" s="194"/>
      <c r="BE46" s="195"/>
      <c r="BF46" s="196"/>
      <c r="BG46" s="195"/>
      <c r="BH46" s="194"/>
      <c r="BI46" s="195"/>
      <c r="BJ46" s="196"/>
      <c r="BK46" s="97"/>
      <c r="BL46" s="194"/>
      <c r="BM46" s="195"/>
      <c r="BN46" s="196"/>
      <c r="BO46" s="97"/>
      <c r="BP46" s="193"/>
      <c r="BQ46" s="97"/>
      <c r="BR46" s="135"/>
      <c r="BS46" s="195"/>
      <c r="BT46" s="196"/>
      <c r="BU46" s="97"/>
      <c r="BV46" s="135"/>
      <c r="BW46" s="195"/>
      <c r="BX46" s="196"/>
      <c r="BY46" s="97"/>
      <c r="BZ46" s="135"/>
      <c r="CA46" s="195"/>
      <c r="CB46" s="196"/>
      <c r="CC46" s="97"/>
      <c r="CD46" s="193"/>
      <c r="CE46" s="97"/>
      <c r="CF46" s="135"/>
      <c r="CG46" s="195"/>
      <c r="CH46" s="196"/>
      <c r="CI46" s="97"/>
      <c r="CJ46" s="135"/>
      <c r="CK46" s="195"/>
      <c r="CL46" s="196"/>
      <c r="CM46" s="97"/>
      <c r="CN46" s="135"/>
      <c r="CO46" s="195"/>
      <c r="CP46" s="196"/>
      <c r="CQ46" s="97"/>
      <c r="CR46" s="193"/>
      <c r="CS46" s="97"/>
      <c r="CT46" s="135"/>
      <c r="CU46" s="195"/>
      <c r="CV46" s="196"/>
      <c r="CW46" s="97"/>
      <c r="CX46" s="135"/>
      <c r="CY46" s="195"/>
      <c r="CZ46" s="196"/>
      <c r="DA46" s="97"/>
      <c r="DB46" s="135"/>
      <c r="DC46" s="195"/>
      <c r="DD46" s="196"/>
      <c r="DE46" s="97"/>
      <c r="DF46" s="193"/>
      <c r="DG46" s="97"/>
      <c r="DH46" s="135"/>
      <c r="DI46" s="195"/>
      <c r="DJ46" s="196"/>
      <c r="DK46" s="97"/>
      <c r="DL46" s="135"/>
      <c r="DM46" s="195"/>
      <c r="DN46" s="196"/>
      <c r="DO46" s="97"/>
      <c r="DP46" s="135"/>
      <c r="DQ46" s="195"/>
      <c r="DR46" s="196"/>
      <c r="DS46" s="97"/>
      <c r="DT46" s="193"/>
      <c r="DU46" s="97"/>
      <c r="DV46" s="135"/>
      <c r="DW46" s="195"/>
      <c r="DX46" s="196"/>
      <c r="DY46" s="97"/>
      <c r="DZ46" s="135"/>
      <c r="EA46" s="195"/>
      <c r="EB46" s="196"/>
      <c r="EC46" s="97"/>
      <c r="ED46" s="135"/>
      <c r="EE46" s="195"/>
      <c r="EF46" s="196"/>
      <c r="EG46" s="97"/>
      <c r="EH46" s="193"/>
      <c r="EI46" s="97"/>
      <c r="EJ46" s="135"/>
      <c r="EK46" s="195"/>
      <c r="EL46" s="196"/>
      <c r="EM46" s="97"/>
      <c r="EN46" s="135"/>
      <c r="EO46" s="195"/>
      <c r="EP46" s="196"/>
    </row>
    <row r="47" spans="2:146">
      <c r="B47" s="160" t="s">
        <v>85</v>
      </c>
      <c r="C47" s="107"/>
      <c r="D47" s="107"/>
      <c r="E47" s="107"/>
      <c r="F47" s="181">
        <v>88481</v>
      </c>
      <c r="G47" s="182"/>
      <c r="H47" s="181">
        <v>87754</v>
      </c>
      <c r="I47" s="182"/>
      <c r="J47" s="181">
        <v>87168</v>
      </c>
      <c r="K47" s="182"/>
      <c r="L47" s="181">
        <v>86978</v>
      </c>
      <c r="M47" s="182"/>
      <c r="N47" s="183">
        <v>86787</v>
      </c>
      <c r="O47" s="182"/>
      <c r="P47" s="184">
        <v>86873</v>
      </c>
      <c r="Q47" s="182"/>
      <c r="R47" s="183">
        <v>86428</v>
      </c>
      <c r="S47" s="182"/>
      <c r="T47" s="184">
        <v>86706</v>
      </c>
      <c r="U47" s="182"/>
      <c r="V47" s="183">
        <v>86190</v>
      </c>
      <c r="W47" s="182"/>
      <c r="X47" s="184">
        <v>86518</v>
      </c>
      <c r="Y47" s="182"/>
      <c r="Z47" s="181">
        <v>86101</v>
      </c>
      <c r="AA47" s="182"/>
      <c r="AB47" s="183">
        <v>85397</v>
      </c>
      <c r="AC47" s="182"/>
      <c r="AD47" s="184">
        <v>85739</v>
      </c>
      <c r="AE47" s="182"/>
      <c r="AF47" s="183">
        <v>84940</v>
      </c>
      <c r="AG47" s="182"/>
      <c r="AH47" s="184">
        <v>85448</v>
      </c>
      <c r="AI47" s="97"/>
      <c r="AJ47" s="183">
        <v>85005</v>
      </c>
      <c r="AK47" s="182"/>
      <c r="AL47" s="184">
        <v>85448</v>
      </c>
      <c r="AM47" s="97"/>
      <c r="AN47" s="181">
        <v>85269</v>
      </c>
      <c r="AO47" s="97"/>
      <c r="AP47" s="183">
        <v>85236</v>
      </c>
      <c r="AQ47" s="182"/>
      <c r="AR47" s="184">
        <v>85248</v>
      </c>
      <c r="AS47" s="182"/>
      <c r="AT47" s="183">
        <v>85348</v>
      </c>
      <c r="AU47" s="182"/>
      <c r="AV47" s="184">
        <v>85261</v>
      </c>
      <c r="AW47" s="97"/>
      <c r="AX47" s="183">
        <v>84568</v>
      </c>
      <c r="AY47" s="182"/>
      <c r="AZ47" s="184">
        <v>85230</v>
      </c>
      <c r="BA47" s="97"/>
      <c r="BB47" s="185">
        <v>84588</v>
      </c>
      <c r="BC47" s="114"/>
      <c r="BD47" s="186">
        <v>84661</v>
      </c>
      <c r="BE47" s="187"/>
      <c r="BF47" s="188">
        <v>84655</v>
      </c>
      <c r="BG47" s="187"/>
      <c r="BH47" s="186">
        <v>84005</v>
      </c>
      <c r="BI47" s="187"/>
      <c r="BJ47" s="188">
        <v>84676</v>
      </c>
      <c r="BK47" s="97"/>
      <c r="BL47" s="186">
        <v>85033</v>
      </c>
      <c r="BM47" s="187"/>
      <c r="BN47" s="188">
        <v>84730</v>
      </c>
      <c r="BO47" s="97"/>
      <c r="BP47" s="185">
        <v>85065</v>
      </c>
      <c r="BQ47" s="97"/>
      <c r="BR47" s="135">
        <v>84341</v>
      </c>
      <c r="BS47" s="187"/>
      <c r="BT47" s="188">
        <v>85041</v>
      </c>
      <c r="BU47" s="97"/>
      <c r="BV47" s="135">
        <v>84233</v>
      </c>
      <c r="BW47" s="187"/>
      <c r="BX47" s="188">
        <v>84262</v>
      </c>
      <c r="BY47" s="97"/>
      <c r="BZ47" s="135">
        <v>84066</v>
      </c>
      <c r="CA47" s="187"/>
      <c r="CB47" s="188">
        <v>84213</v>
      </c>
      <c r="CC47" s="97"/>
      <c r="CD47" s="185">
        <v>84838</v>
      </c>
      <c r="CE47" s="97"/>
      <c r="CF47" s="135">
        <v>84892</v>
      </c>
      <c r="CG47" s="187"/>
      <c r="CH47" s="188">
        <v>84849</v>
      </c>
      <c r="CI47" s="97"/>
      <c r="CJ47" s="135">
        <v>84947</v>
      </c>
      <c r="CK47" s="187"/>
      <c r="CL47" s="188">
        <v>84869</v>
      </c>
      <c r="CM47" s="97"/>
      <c r="CN47" s="135">
        <v>84320</v>
      </c>
      <c r="CO47" s="187"/>
      <c r="CP47" s="188">
        <v>84891</v>
      </c>
      <c r="CQ47" s="97"/>
      <c r="CR47" s="185">
        <v>85141</v>
      </c>
      <c r="CS47" s="97"/>
      <c r="CT47" s="135">
        <v>85359</v>
      </c>
      <c r="CU47" s="187"/>
      <c r="CV47" s="188">
        <v>85240</v>
      </c>
      <c r="CW47" s="97"/>
      <c r="CX47" s="135">
        <v>85448</v>
      </c>
      <c r="CY47" s="187"/>
      <c r="CZ47" s="188">
        <v>85301</v>
      </c>
      <c r="DA47" s="97"/>
      <c r="DB47" s="135">
        <v>84780</v>
      </c>
      <c r="DC47" s="187"/>
      <c r="DD47" s="188">
        <v>85348</v>
      </c>
      <c r="DE47" s="97"/>
      <c r="DF47" s="185">
        <v>85709</v>
      </c>
      <c r="DG47" s="97"/>
      <c r="DH47" s="135">
        <v>85727</v>
      </c>
      <c r="DI47" s="187"/>
      <c r="DJ47" s="188">
        <v>85686</v>
      </c>
      <c r="DK47" s="97"/>
      <c r="DL47" s="135">
        <v>85140</v>
      </c>
      <c r="DM47" s="187"/>
      <c r="DN47" s="188">
        <v>85031</v>
      </c>
      <c r="DO47" s="97"/>
      <c r="DP47" s="135">
        <v>85954</v>
      </c>
      <c r="DQ47" s="187"/>
      <c r="DR47" s="188">
        <v>85721</v>
      </c>
      <c r="DS47" s="97"/>
      <c r="DT47" s="185">
        <v>86214</v>
      </c>
      <c r="DU47" s="97"/>
      <c r="DV47" s="135">
        <v>86441</v>
      </c>
      <c r="DW47" s="187"/>
      <c r="DX47" s="188">
        <v>86313</v>
      </c>
      <c r="DY47" s="97"/>
      <c r="DZ47" s="135">
        <v>86945</v>
      </c>
      <c r="EA47" s="187"/>
      <c r="EB47" s="188">
        <v>86474</v>
      </c>
      <c r="EC47" s="97"/>
      <c r="ED47" s="135">
        <v>87983</v>
      </c>
      <c r="EE47" s="187"/>
      <c r="EF47" s="188">
        <v>86818</v>
      </c>
      <c r="EG47" s="97"/>
      <c r="EH47" s="185">
        <v>88304</v>
      </c>
      <c r="EI47" s="97"/>
      <c r="EJ47" s="135">
        <v>88309</v>
      </c>
      <c r="EK47" s="187"/>
      <c r="EL47" s="188">
        <v>88316</v>
      </c>
      <c r="EM47" s="97"/>
      <c r="EN47" s="135">
        <v>88060</v>
      </c>
      <c r="EO47" s="187"/>
      <c r="EP47" s="188">
        <v>88156</v>
      </c>
    </row>
    <row r="48" spans="2:146">
      <c r="B48" s="160" t="s">
        <v>86</v>
      </c>
      <c r="C48" s="116"/>
      <c r="D48" s="116"/>
      <c r="E48" s="116"/>
      <c r="F48" s="189"/>
      <c r="G48" s="190"/>
      <c r="H48" s="189"/>
      <c r="I48" s="190"/>
      <c r="J48" s="189"/>
      <c r="K48" s="190"/>
      <c r="L48" s="189"/>
      <c r="M48" s="190"/>
      <c r="N48" s="191"/>
      <c r="O48" s="190"/>
      <c r="P48" s="192"/>
      <c r="Q48" s="190"/>
      <c r="R48" s="191"/>
      <c r="S48" s="190"/>
      <c r="T48" s="192"/>
      <c r="U48" s="190"/>
      <c r="V48" s="191"/>
      <c r="W48" s="190"/>
      <c r="X48" s="192"/>
      <c r="Y48" s="190"/>
      <c r="Z48" s="189"/>
      <c r="AA48" s="190"/>
      <c r="AB48" s="191"/>
      <c r="AC48" s="190"/>
      <c r="AD48" s="192"/>
      <c r="AE48" s="190"/>
      <c r="AF48" s="191"/>
      <c r="AG48" s="190"/>
      <c r="AH48" s="192"/>
      <c r="AI48" s="97"/>
      <c r="AJ48" s="191"/>
      <c r="AK48" s="190"/>
      <c r="AL48" s="192"/>
      <c r="AM48" s="97"/>
      <c r="AN48" s="189"/>
      <c r="AO48" s="97"/>
      <c r="AP48" s="191"/>
      <c r="AQ48" s="190"/>
      <c r="AR48" s="192"/>
      <c r="AS48" s="190"/>
      <c r="AT48" s="191"/>
      <c r="AU48" s="190"/>
      <c r="AV48" s="192"/>
      <c r="AW48" s="97"/>
      <c r="AX48" s="191"/>
      <c r="AY48" s="190"/>
      <c r="AZ48" s="192"/>
      <c r="BA48" s="97"/>
      <c r="BB48" s="193"/>
      <c r="BC48" s="114"/>
      <c r="BD48" s="194"/>
      <c r="BE48" s="195"/>
      <c r="BF48" s="196"/>
      <c r="BG48" s="195"/>
      <c r="BH48" s="194"/>
      <c r="BI48" s="195"/>
      <c r="BJ48" s="196"/>
      <c r="BK48" s="97"/>
      <c r="BL48" s="194"/>
      <c r="BM48" s="195"/>
      <c r="BN48" s="196"/>
      <c r="BO48" s="97"/>
      <c r="BP48" s="193"/>
      <c r="BQ48" s="97"/>
      <c r="BR48" s="135"/>
      <c r="BS48" s="195"/>
      <c r="BT48" s="196"/>
      <c r="BU48" s="97"/>
      <c r="BV48" s="135"/>
      <c r="BW48" s="195"/>
      <c r="BX48" s="196"/>
      <c r="BY48" s="97"/>
      <c r="BZ48" s="135"/>
      <c r="CA48" s="195"/>
      <c r="CB48" s="196"/>
      <c r="CC48" s="97"/>
      <c r="CD48" s="193"/>
      <c r="CE48" s="97"/>
      <c r="CF48" s="135"/>
      <c r="CG48" s="195"/>
      <c r="CH48" s="196"/>
      <c r="CI48" s="97"/>
      <c r="CJ48" s="135"/>
      <c r="CK48" s="195"/>
      <c r="CL48" s="196"/>
      <c r="CM48" s="97"/>
      <c r="CN48" s="135"/>
      <c r="CO48" s="195"/>
      <c r="CP48" s="196"/>
      <c r="CQ48" s="97"/>
      <c r="CR48" s="193"/>
      <c r="CS48" s="97"/>
      <c r="CT48" s="135"/>
      <c r="CU48" s="195"/>
      <c r="CV48" s="196"/>
      <c r="CW48" s="97"/>
      <c r="CX48" s="135"/>
      <c r="CY48" s="195"/>
      <c r="CZ48" s="196"/>
      <c r="DA48" s="97"/>
      <c r="DB48" s="135"/>
      <c r="DC48" s="195"/>
      <c r="DD48" s="196"/>
      <c r="DE48" s="97"/>
      <c r="DF48" s="193"/>
      <c r="DG48" s="97"/>
      <c r="DH48" s="135"/>
      <c r="DI48" s="195"/>
      <c r="DJ48" s="196"/>
      <c r="DK48" s="97"/>
      <c r="DL48" s="135"/>
      <c r="DM48" s="195"/>
      <c r="DN48" s="196"/>
      <c r="DO48" s="97"/>
      <c r="DP48" s="135"/>
      <c r="DQ48" s="195"/>
      <c r="DR48" s="196"/>
      <c r="DS48" s="97"/>
      <c r="DT48" s="193"/>
      <c r="DU48" s="97"/>
      <c r="DV48" s="135"/>
      <c r="DW48" s="195"/>
      <c r="DX48" s="196"/>
      <c r="DY48" s="97"/>
      <c r="DZ48" s="135"/>
      <c r="EA48" s="195"/>
      <c r="EB48" s="196"/>
      <c r="EC48" s="97"/>
      <c r="ED48" s="135"/>
      <c r="EE48" s="195"/>
      <c r="EF48" s="196"/>
      <c r="EG48" s="97"/>
      <c r="EH48" s="193"/>
      <c r="EI48" s="97"/>
      <c r="EJ48" s="135"/>
      <c r="EK48" s="195"/>
      <c r="EL48" s="196"/>
      <c r="EM48" s="97"/>
      <c r="EN48" s="135"/>
      <c r="EO48" s="195"/>
      <c r="EP48" s="196"/>
    </row>
    <row r="49" spans="2:146">
      <c r="B49" s="160"/>
      <c r="C49" s="151" t="s">
        <v>84</v>
      </c>
      <c r="D49" s="116"/>
      <c r="E49" s="116"/>
      <c r="F49" s="197">
        <v>3.48</v>
      </c>
      <c r="G49" s="198"/>
      <c r="H49" s="197">
        <v>0.41</v>
      </c>
      <c r="I49" s="198"/>
      <c r="J49" s="197">
        <v>2.4</v>
      </c>
      <c r="K49" s="198"/>
      <c r="L49" s="197">
        <v>0.56000000000000005</v>
      </c>
      <c r="M49" s="198"/>
      <c r="N49" s="199">
        <v>0.48</v>
      </c>
      <c r="O49" s="198"/>
      <c r="P49" s="200">
        <v>1.04</v>
      </c>
      <c r="Q49" s="198"/>
      <c r="R49" s="199">
        <v>0.44</v>
      </c>
      <c r="S49" s="198"/>
      <c r="T49" s="200">
        <v>1.48</v>
      </c>
      <c r="U49" s="198"/>
      <c r="V49" s="199">
        <v>0.09</v>
      </c>
      <c r="W49" s="198"/>
      <c r="X49" s="200">
        <v>1.57</v>
      </c>
      <c r="Y49" s="198"/>
      <c r="Z49" s="197">
        <v>0.41</v>
      </c>
      <c r="AA49" s="198"/>
      <c r="AB49" s="199">
        <v>0.88</v>
      </c>
      <c r="AC49" s="198"/>
      <c r="AD49" s="200">
        <v>1.28</v>
      </c>
      <c r="AE49" s="198"/>
      <c r="AF49" s="199">
        <v>0.73</v>
      </c>
      <c r="AG49" s="198"/>
      <c r="AH49" s="200">
        <v>2.02</v>
      </c>
      <c r="AI49" s="97"/>
      <c r="AJ49" s="199">
        <v>0.03</v>
      </c>
      <c r="AK49" s="198"/>
      <c r="AL49" s="200">
        <v>2.0499999999999998</v>
      </c>
      <c r="AM49" s="97"/>
      <c r="AN49" s="197">
        <v>0.73</v>
      </c>
      <c r="AO49" s="97"/>
      <c r="AP49" s="199">
        <v>0.62</v>
      </c>
      <c r="AQ49" s="198"/>
      <c r="AR49" s="200">
        <v>1.35</v>
      </c>
      <c r="AS49" s="198"/>
      <c r="AT49" s="199">
        <v>0.42</v>
      </c>
      <c r="AU49" s="198"/>
      <c r="AV49" s="200">
        <v>1.77</v>
      </c>
      <c r="AW49" s="97"/>
      <c r="AX49" s="199">
        <v>-0.47</v>
      </c>
      <c r="AY49" s="198"/>
      <c r="AZ49" s="200">
        <v>1.3</v>
      </c>
      <c r="BA49" s="97"/>
      <c r="BB49" s="201">
        <v>0.06</v>
      </c>
      <c r="BC49" s="114"/>
      <c r="BD49" s="202">
        <v>1.69</v>
      </c>
      <c r="BE49" s="203"/>
      <c r="BF49" s="204">
        <v>1.75</v>
      </c>
      <c r="BG49" s="203"/>
      <c r="BH49" s="202">
        <v>-0.12</v>
      </c>
      <c r="BI49" s="203"/>
      <c r="BJ49" s="204">
        <v>1.64</v>
      </c>
      <c r="BK49" s="97"/>
      <c r="BL49" s="202">
        <v>0.02</v>
      </c>
      <c r="BM49" s="203"/>
      <c r="BN49" s="204">
        <v>1.65</v>
      </c>
      <c r="BO49" s="97"/>
      <c r="BP49" s="201">
        <v>0.23</v>
      </c>
      <c r="BQ49" s="97"/>
      <c r="BR49" s="205">
        <v>-0.22</v>
      </c>
      <c r="BS49" s="203"/>
      <c r="BT49" s="204">
        <v>0.01</v>
      </c>
      <c r="BU49" s="97"/>
      <c r="BV49" s="205">
        <v>-0.26</v>
      </c>
      <c r="BW49" s="203"/>
      <c r="BX49" s="204">
        <v>-0.25</v>
      </c>
      <c r="BY49" s="97"/>
      <c r="BZ49" s="205">
        <v>-0.25</v>
      </c>
      <c r="CA49" s="203"/>
      <c r="CB49" s="204">
        <v>-0.51</v>
      </c>
      <c r="CC49" s="97"/>
      <c r="CD49" s="201">
        <v>1.89</v>
      </c>
      <c r="CE49" s="97"/>
      <c r="CF49" s="205">
        <v>0.23</v>
      </c>
      <c r="CG49" s="203"/>
      <c r="CH49" s="204">
        <v>2.11</v>
      </c>
      <c r="CI49" s="97"/>
      <c r="CJ49" s="205">
        <v>0.75</v>
      </c>
      <c r="CK49" s="203"/>
      <c r="CL49" s="204">
        <v>2.86</v>
      </c>
      <c r="CM49" s="97"/>
      <c r="CN49" s="205">
        <v>-0.02</v>
      </c>
      <c r="CO49" s="203"/>
      <c r="CP49" s="204">
        <v>2.84</v>
      </c>
      <c r="CQ49" s="97"/>
      <c r="CR49" s="201">
        <v>0.1</v>
      </c>
      <c r="CS49" s="97"/>
      <c r="CT49" s="205">
        <v>0.32</v>
      </c>
      <c r="CU49" s="203"/>
      <c r="CV49" s="204">
        <v>0.43</v>
      </c>
      <c r="CW49" s="97"/>
      <c r="CX49" s="205">
        <v>0.2</v>
      </c>
      <c r="CY49" s="203"/>
      <c r="CZ49" s="204">
        <v>0.63</v>
      </c>
      <c r="DA49" s="97"/>
      <c r="DB49" s="205">
        <v>-7.0000000000000007E-2</v>
      </c>
      <c r="DC49" s="203"/>
      <c r="DD49" s="204">
        <v>0.56000000000000005</v>
      </c>
      <c r="DE49" s="97"/>
      <c r="DF49" s="201">
        <v>0.31</v>
      </c>
      <c r="DG49" s="97"/>
      <c r="DH49" s="205">
        <v>0.14000000000000001</v>
      </c>
      <c r="DI49" s="203"/>
      <c r="DJ49" s="204">
        <v>0.44</v>
      </c>
      <c r="DK49" s="97"/>
      <c r="DL49" s="205">
        <v>-3.51</v>
      </c>
      <c r="DM49" s="203"/>
      <c r="DN49" s="204">
        <v>-3.07</v>
      </c>
      <c r="DO49" s="97"/>
      <c r="DP49" s="205">
        <v>3.18</v>
      </c>
      <c r="DQ49" s="203"/>
      <c r="DR49" s="204">
        <v>0.14000000000000001</v>
      </c>
      <c r="DS49" s="97"/>
      <c r="DT49" s="201">
        <v>0.52</v>
      </c>
      <c r="DU49" s="97"/>
      <c r="DV49" s="205">
        <v>0.56000000000000005</v>
      </c>
      <c r="DW49" s="203"/>
      <c r="DX49" s="204">
        <v>1.08</v>
      </c>
      <c r="DY49" s="97"/>
      <c r="DZ49" s="205">
        <v>0.41</v>
      </c>
      <c r="EA49" s="203"/>
      <c r="EB49" s="204">
        <v>1.49</v>
      </c>
      <c r="EC49" s="97"/>
      <c r="ED49" s="205">
        <v>0.23</v>
      </c>
      <c r="EE49" s="203"/>
      <c r="EF49" s="204">
        <v>1.72</v>
      </c>
      <c r="EG49" s="97"/>
      <c r="EH49" s="201">
        <v>0.62</v>
      </c>
      <c r="EI49" s="97"/>
      <c r="EJ49" s="205">
        <v>0.35</v>
      </c>
      <c r="EK49" s="203"/>
      <c r="EL49" s="204">
        <v>0.97</v>
      </c>
      <c r="EM49" s="97"/>
      <c r="EN49" s="205">
        <v>0.27</v>
      </c>
      <c r="EO49" s="203"/>
      <c r="EP49" s="204">
        <v>1.24</v>
      </c>
    </row>
    <row r="50" spans="2:146">
      <c r="B50" s="149"/>
      <c r="C50" s="116"/>
      <c r="D50" s="116"/>
      <c r="E50" s="116"/>
      <c r="F50" s="206"/>
      <c r="G50" s="207"/>
      <c r="H50" s="206"/>
      <c r="I50" s="207"/>
      <c r="J50" s="208"/>
      <c r="K50" s="97"/>
      <c r="L50" s="110"/>
      <c r="M50" s="111"/>
      <c r="N50" s="112"/>
      <c r="O50" s="111"/>
      <c r="P50" s="113"/>
      <c r="Q50" s="111"/>
      <c r="R50" s="112"/>
      <c r="S50" s="111"/>
      <c r="T50" s="113"/>
      <c r="U50" s="111"/>
      <c r="V50" s="112"/>
      <c r="W50" s="111"/>
      <c r="X50" s="113"/>
      <c r="Y50" s="111"/>
      <c r="Z50" s="110"/>
      <c r="AA50" s="111"/>
      <c r="AB50" s="112"/>
      <c r="AC50" s="111"/>
      <c r="AD50" s="113"/>
      <c r="AE50" s="111"/>
      <c r="AF50" s="112"/>
      <c r="AG50" s="111"/>
      <c r="AH50" s="113"/>
      <c r="AI50" s="97"/>
      <c r="AJ50" s="112"/>
      <c r="AK50" s="111"/>
      <c r="AL50" s="113"/>
      <c r="AM50" s="97"/>
      <c r="AN50" s="110"/>
      <c r="AO50" s="97"/>
      <c r="AP50" s="112"/>
      <c r="AQ50" s="111"/>
      <c r="AR50" s="113"/>
      <c r="AS50" s="111"/>
      <c r="AT50" s="112"/>
      <c r="AU50" s="111"/>
      <c r="AV50" s="113"/>
      <c r="AW50" s="97"/>
      <c r="AX50" s="112"/>
      <c r="AY50" s="111"/>
      <c r="AZ50" s="113"/>
      <c r="BA50" s="97"/>
      <c r="BB50" s="110"/>
      <c r="BC50" s="114"/>
      <c r="BD50" s="112"/>
      <c r="BE50" s="111"/>
      <c r="BF50" s="113"/>
      <c r="BG50" s="111"/>
      <c r="BH50" s="112"/>
      <c r="BI50" s="111"/>
      <c r="BJ50" s="113"/>
      <c r="BK50" s="97"/>
      <c r="BL50" s="112"/>
      <c r="BM50" s="111"/>
      <c r="BN50" s="113"/>
      <c r="BO50" s="97"/>
      <c r="BP50" s="110"/>
      <c r="BQ50" s="97"/>
      <c r="BR50" s="135"/>
      <c r="BS50" s="111"/>
      <c r="BT50" s="113"/>
      <c r="BU50" s="97"/>
      <c r="BV50" s="135"/>
      <c r="BW50" s="111"/>
      <c r="BX50" s="113"/>
      <c r="BY50" s="97"/>
      <c r="BZ50" s="135"/>
      <c r="CA50" s="111"/>
      <c r="CB50" s="113"/>
      <c r="CC50" s="97"/>
      <c r="CD50" s="110"/>
      <c r="CE50" s="97"/>
      <c r="CF50" s="135"/>
      <c r="CG50" s="111"/>
      <c r="CH50" s="113"/>
      <c r="CI50" s="97"/>
      <c r="CJ50" s="135"/>
      <c r="CK50" s="111"/>
      <c r="CL50" s="113"/>
      <c r="CM50" s="97"/>
      <c r="CN50" s="135"/>
      <c r="CO50" s="111"/>
      <c r="CP50" s="113"/>
      <c r="CQ50" s="97"/>
      <c r="CR50" s="110"/>
      <c r="CS50" s="97"/>
      <c r="CT50" s="135"/>
      <c r="CU50" s="111"/>
      <c r="CV50" s="113"/>
      <c r="CW50" s="97"/>
      <c r="CX50" s="135"/>
      <c r="CY50" s="111"/>
      <c r="CZ50" s="113"/>
      <c r="DA50" s="97"/>
      <c r="DB50" s="135"/>
      <c r="DC50" s="111"/>
      <c r="DD50" s="113"/>
      <c r="DE50" s="97"/>
      <c r="DF50" s="110"/>
      <c r="DG50" s="97"/>
      <c r="DH50" s="135"/>
      <c r="DI50" s="111"/>
      <c r="DJ50" s="113"/>
      <c r="DK50" s="97"/>
      <c r="DL50" s="135"/>
      <c r="DM50" s="111"/>
      <c r="DN50" s="113"/>
      <c r="DO50" s="97"/>
      <c r="DP50" s="135"/>
      <c r="DQ50" s="111"/>
      <c r="DR50" s="113"/>
      <c r="DS50" s="97"/>
      <c r="DT50" s="110"/>
      <c r="DU50" s="97"/>
      <c r="DV50" s="135"/>
      <c r="DW50" s="111"/>
      <c r="DX50" s="113"/>
      <c r="DY50" s="97"/>
      <c r="DZ50" s="135"/>
      <c r="EA50" s="111"/>
      <c r="EB50" s="113"/>
      <c r="EC50" s="97"/>
      <c r="ED50" s="135"/>
      <c r="EE50" s="111"/>
      <c r="EF50" s="113"/>
      <c r="EG50" s="97"/>
      <c r="EH50" s="110"/>
      <c r="EI50" s="97"/>
      <c r="EJ50" s="135"/>
      <c r="EK50" s="111"/>
      <c r="EL50" s="113"/>
      <c r="EM50" s="97"/>
      <c r="EN50" s="135"/>
      <c r="EO50" s="111"/>
      <c r="EP50" s="113"/>
    </row>
    <row r="51" spans="2:146">
      <c r="B51" s="97"/>
      <c r="C51" s="116"/>
      <c r="D51" s="116"/>
      <c r="E51" s="116"/>
      <c r="F51" s="209"/>
      <c r="G51" s="210"/>
      <c r="H51" s="209"/>
      <c r="I51" s="210"/>
      <c r="J51" s="211"/>
      <c r="K51" s="97"/>
      <c r="L51" s="162"/>
      <c r="M51" s="111"/>
      <c r="N51" s="212"/>
      <c r="O51" s="213"/>
      <c r="P51" s="164"/>
      <c r="Q51" s="111"/>
      <c r="R51" s="212"/>
      <c r="S51" s="213"/>
      <c r="T51" s="164"/>
      <c r="U51" s="111"/>
      <c r="V51" s="212"/>
      <c r="W51" s="213"/>
      <c r="X51" s="164"/>
      <c r="Y51" s="111"/>
      <c r="Z51" s="162"/>
      <c r="AA51" s="111"/>
      <c r="AB51" s="212"/>
      <c r="AC51" s="213"/>
      <c r="AD51" s="164"/>
      <c r="AE51" s="111"/>
      <c r="AF51" s="212"/>
      <c r="AG51" s="213"/>
      <c r="AH51" s="164"/>
      <c r="AI51" s="97"/>
      <c r="AJ51" s="212"/>
      <c r="AK51" s="213"/>
      <c r="AL51" s="164"/>
      <c r="AM51" s="97"/>
      <c r="AN51" s="162"/>
      <c r="AO51" s="97"/>
      <c r="AP51" s="212"/>
      <c r="AQ51" s="213"/>
      <c r="AR51" s="164"/>
      <c r="AS51" s="111"/>
      <c r="AT51" s="212"/>
      <c r="AU51" s="213"/>
      <c r="AV51" s="164"/>
      <c r="AW51" s="97"/>
      <c r="AX51" s="212"/>
      <c r="AY51" s="213"/>
      <c r="AZ51" s="164"/>
      <c r="BA51" s="97"/>
      <c r="BB51" s="162"/>
      <c r="BC51" s="114"/>
      <c r="BD51" s="212"/>
      <c r="BE51" s="213"/>
      <c r="BF51" s="164"/>
      <c r="BG51" s="111"/>
      <c r="BH51" s="212"/>
      <c r="BI51" s="213"/>
      <c r="BJ51" s="164"/>
      <c r="BK51" s="97"/>
      <c r="BL51" s="212"/>
      <c r="BM51" s="213"/>
      <c r="BN51" s="164"/>
      <c r="BO51" s="97"/>
      <c r="BP51" s="162"/>
      <c r="BQ51" s="97"/>
      <c r="BR51" s="163"/>
      <c r="BS51" s="213"/>
      <c r="BT51" s="164"/>
      <c r="BU51" s="97"/>
      <c r="BV51" s="163"/>
      <c r="BW51" s="213"/>
      <c r="BX51" s="164"/>
      <c r="BY51" s="97"/>
      <c r="BZ51" s="163"/>
      <c r="CA51" s="213"/>
      <c r="CB51" s="164"/>
      <c r="CC51" s="97"/>
      <c r="CD51" s="162"/>
      <c r="CE51" s="97"/>
      <c r="CF51" s="163"/>
      <c r="CG51" s="213"/>
      <c r="CH51" s="164"/>
      <c r="CI51" s="97"/>
      <c r="CJ51" s="163"/>
      <c r="CK51" s="213"/>
      <c r="CL51" s="164"/>
      <c r="CM51" s="97"/>
      <c r="CN51" s="163"/>
      <c r="CO51" s="213"/>
      <c r="CP51" s="164"/>
      <c r="CQ51" s="97"/>
      <c r="CR51" s="162"/>
      <c r="CS51" s="97"/>
      <c r="CT51" s="163"/>
      <c r="CU51" s="213"/>
      <c r="CV51" s="164"/>
      <c r="CW51" s="97"/>
      <c r="CX51" s="163"/>
      <c r="CY51" s="213"/>
      <c r="CZ51" s="164"/>
      <c r="DA51" s="97"/>
      <c r="DB51" s="163"/>
      <c r="DC51" s="213"/>
      <c r="DD51" s="164"/>
      <c r="DE51" s="97"/>
      <c r="DF51" s="162"/>
      <c r="DG51" s="97"/>
      <c r="DH51" s="163"/>
      <c r="DI51" s="213"/>
      <c r="DJ51" s="164"/>
      <c r="DK51" s="97"/>
      <c r="DL51" s="163"/>
      <c r="DM51" s="213"/>
      <c r="DN51" s="164"/>
      <c r="DO51" s="97"/>
      <c r="DP51" s="163"/>
      <c r="DQ51" s="213"/>
      <c r="DR51" s="164"/>
      <c r="DS51" s="97"/>
      <c r="DT51" s="162"/>
      <c r="DU51" s="97"/>
      <c r="DV51" s="163"/>
      <c r="DW51" s="213"/>
      <c r="DX51" s="164"/>
      <c r="DY51" s="97"/>
      <c r="DZ51" s="163"/>
      <c r="EA51" s="213"/>
      <c r="EB51" s="164"/>
      <c r="EC51" s="97"/>
      <c r="ED51" s="163"/>
      <c r="EE51" s="213"/>
      <c r="EF51" s="164"/>
      <c r="EG51" s="97"/>
      <c r="EH51" s="162"/>
      <c r="EI51" s="97"/>
      <c r="EJ51" s="163"/>
      <c r="EK51" s="213"/>
      <c r="EL51" s="164"/>
      <c r="EM51" s="97"/>
      <c r="EN51" s="163"/>
      <c r="EO51" s="213"/>
      <c r="EP51" s="164"/>
    </row>
  </sheetData>
  <mergeCells count="12">
    <mergeCell ref="EF6:EF9"/>
    <mergeCell ref="AZ6:AZ9"/>
    <mergeCell ref="F6:F9"/>
    <mergeCell ref="H6:H9"/>
    <mergeCell ref="J6:J9"/>
    <mergeCell ref="X6:X9"/>
    <mergeCell ref="AL6:AL9"/>
    <mergeCell ref="DR6:DR9"/>
    <mergeCell ref="BN6:BN9"/>
    <mergeCell ref="CB6:CB9"/>
    <mergeCell ref="CP6:CP9"/>
    <mergeCell ref="DD6:DD9"/>
  </mergeCells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BF54"/>
  <sheetViews>
    <sheetView workbookViewId="0">
      <pane xSplit="5" ySplit="9" topLeftCell="AW10" activePane="bottomRight" state="frozen"/>
      <selection pane="topRight" activeCell="F1" sqref="F1"/>
      <selection pane="bottomLeft" activeCell="A10" sqref="A10"/>
      <selection pane="bottomRight" activeCell="BD5" sqref="BD5"/>
    </sheetView>
  </sheetViews>
  <sheetFormatPr defaultRowHeight="12.75"/>
  <cols>
    <col min="1" max="1" width="3.7109375" customWidth="1"/>
    <col min="2" max="4" width="2.7109375" customWidth="1"/>
    <col min="5" max="5" width="62.710937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5.42578125" bestFit="1" customWidth="1"/>
    <col min="11" max="11" width="2.5703125" customWidth="1"/>
    <col min="12" max="12" width="12.5703125" bestFit="1" customWidth="1"/>
    <col min="13" max="13" width="2.5703125" customWidth="1"/>
    <col min="14" max="14" width="15.42578125" bestFit="1" customWidth="1"/>
    <col min="15" max="15" width="2.5703125" customWidth="1"/>
    <col min="16" max="16" width="14.140625" bestFit="1" customWidth="1"/>
    <col min="17" max="17" width="2.5703125" customWidth="1"/>
    <col min="18" max="18" width="15.42578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5.42578125" bestFit="1" customWidth="1"/>
    <col min="25" max="25" width="2.5703125" customWidth="1"/>
    <col min="26" max="26" width="12.5703125" bestFit="1" customWidth="1"/>
    <col min="27" max="27" width="2.5703125" customWidth="1"/>
    <col min="28" max="28" width="15.42578125" bestFit="1" customWidth="1"/>
    <col min="29" max="29" width="2.5703125" customWidth="1"/>
    <col min="30" max="30" width="14.140625" bestFit="1" customWidth="1"/>
    <col min="31" max="31" width="2.5703125" customWidth="1"/>
    <col min="32" max="32" width="15.42578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  <col min="37" max="37" width="2.5703125" customWidth="1"/>
    <col min="38" max="38" width="15.42578125" bestFit="1" customWidth="1"/>
    <col min="39" max="39" width="2.5703125" customWidth="1"/>
    <col min="40" max="40" width="12.5703125" bestFit="1" customWidth="1"/>
    <col min="41" max="41" width="2.5703125" customWidth="1"/>
    <col min="42" max="42" width="15.42578125" bestFit="1" customWidth="1"/>
    <col min="43" max="43" width="2.5703125" customWidth="1"/>
    <col min="44" max="44" width="14.140625" bestFit="1" customWidth="1"/>
    <col min="45" max="45" width="2.5703125" customWidth="1"/>
    <col min="46" max="46" width="15.42578125" bestFit="1" customWidth="1"/>
    <col min="47" max="47" width="2.5703125" customWidth="1"/>
    <col min="48" max="48" width="19.140625" bestFit="1" customWidth="1"/>
    <col min="49" max="49" width="2.5703125" customWidth="1"/>
    <col min="50" max="50" width="15.42578125" bestFit="1" customWidth="1"/>
    <col min="51" max="51" width="2.5703125" customWidth="1"/>
    <col min="52" max="52" width="15.42578125" bestFit="1" customWidth="1"/>
    <col min="53" max="53" width="2.5703125" customWidth="1"/>
    <col min="54" max="54" width="12.5703125" bestFit="1" customWidth="1"/>
    <col min="55" max="55" width="2.5703125" customWidth="1"/>
    <col min="56" max="56" width="15.42578125" bestFit="1" customWidth="1"/>
    <col min="57" max="57" width="2.5703125" customWidth="1"/>
    <col min="58" max="58" width="14.140625" bestFit="1" customWidth="1"/>
  </cols>
  <sheetData>
    <row r="2" spans="2:58" ht="25.5">
      <c r="B2" s="263" t="s">
        <v>25</v>
      </c>
      <c r="C2" s="214"/>
      <c r="D2" s="214"/>
      <c r="E2" s="214"/>
      <c r="F2" s="216"/>
      <c r="G2" s="215"/>
      <c r="H2" s="215"/>
      <c r="I2" s="215"/>
      <c r="J2" s="216"/>
      <c r="K2" s="216"/>
      <c r="L2" s="216"/>
      <c r="M2" s="215"/>
      <c r="N2" s="216"/>
      <c r="O2" s="216"/>
      <c r="P2" s="216"/>
      <c r="Q2" s="215"/>
      <c r="R2" s="216"/>
      <c r="S2" s="216"/>
      <c r="T2" s="216"/>
      <c r="U2" s="215"/>
      <c r="V2" s="215"/>
      <c r="W2" s="215"/>
      <c r="X2" s="216"/>
      <c r="Y2" s="216"/>
      <c r="Z2" s="216"/>
      <c r="AA2" s="215"/>
      <c r="AB2" s="216"/>
      <c r="AC2" s="216"/>
      <c r="AD2" s="216"/>
      <c r="AE2" s="215"/>
      <c r="AF2" s="216"/>
      <c r="AG2" s="216"/>
      <c r="AH2" s="216"/>
      <c r="AI2" s="215"/>
      <c r="AJ2" s="215"/>
      <c r="AK2" s="215"/>
      <c r="AL2" s="216"/>
      <c r="AM2" s="216"/>
      <c r="AN2" s="216"/>
      <c r="AO2" s="215"/>
      <c r="AP2" s="216"/>
      <c r="AQ2" s="216"/>
      <c r="AR2" s="216"/>
      <c r="AS2" s="215"/>
      <c r="AT2" s="216"/>
      <c r="AU2" s="216"/>
      <c r="AV2" s="216"/>
      <c r="AW2" s="215"/>
      <c r="AX2" s="215"/>
      <c r="AY2" s="215"/>
      <c r="AZ2" s="216"/>
      <c r="BA2" s="216"/>
      <c r="BB2" s="216"/>
      <c r="BC2" s="215"/>
      <c r="BD2" s="216"/>
      <c r="BE2" s="216"/>
      <c r="BF2" s="216"/>
    </row>
    <row r="3" spans="2:58" ht="15.75">
      <c r="B3" s="264" t="s">
        <v>0</v>
      </c>
      <c r="C3" s="95"/>
      <c r="D3" s="95"/>
      <c r="E3" s="95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</row>
    <row r="4" spans="2:58">
      <c r="B4" s="96" t="s">
        <v>1</v>
      </c>
      <c r="C4" s="96"/>
      <c r="D4" s="96"/>
      <c r="E4" s="96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</row>
    <row r="5" spans="2:58">
      <c r="B5" s="96"/>
      <c r="C5" s="96"/>
      <c r="D5" s="96"/>
      <c r="E5" s="96"/>
      <c r="F5" s="217"/>
      <c r="G5" s="97"/>
      <c r="H5" s="97"/>
      <c r="I5" s="97"/>
      <c r="J5" s="217"/>
      <c r="K5" s="217"/>
      <c r="L5" s="217"/>
      <c r="M5" s="97"/>
      <c r="N5" s="217"/>
      <c r="O5" s="217"/>
      <c r="P5" s="217"/>
      <c r="Q5" s="97"/>
      <c r="R5" s="217"/>
      <c r="S5" s="217"/>
      <c r="T5" s="217"/>
      <c r="U5" s="97"/>
      <c r="V5" s="97"/>
      <c r="W5" s="97"/>
      <c r="X5" s="217"/>
      <c r="Y5" s="217"/>
      <c r="Z5" s="217"/>
      <c r="AA5" s="97"/>
      <c r="AB5" s="217"/>
      <c r="AC5" s="217"/>
      <c r="AD5" s="217"/>
      <c r="AE5" s="97"/>
      <c r="AF5" s="217"/>
      <c r="AG5" s="217"/>
      <c r="AH5" s="217"/>
      <c r="AI5" s="97"/>
      <c r="AJ5" s="97"/>
      <c r="AK5" s="97"/>
      <c r="AL5" s="217"/>
      <c r="AM5" s="217"/>
      <c r="AN5" s="217"/>
      <c r="AO5" s="97"/>
      <c r="AP5" s="217"/>
      <c r="AQ5" s="217"/>
      <c r="AR5" s="217"/>
      <c r="AS5" s="97"/>
      <c r="AT5" s="217"/>
      <c r="AU5" s="217"/>
      <c r="AV5" s="217"/>
      <c r="AW5" s="97"/>
      <c r="AX5" s="97"/>
      <c r="AY5" s="97"/>
      <c r="AZ5" s="217"/>
      <c r="BA5" s="217"/>
      <c r="BB5" s="217"/>
      <c r="BC5" s="97"/>
      <c r="BD5" s="217"/>
      <c r="BE5" s="217"/>
      <c r="BF5" s="217"/>
    </row>
    <row r="6" spans="2:58">
      <c r="B6" s="95"/>
      <c r="C6" s="99"/>
      <c r="D6" s="99"/>
      <c r="E6" s="99"/>
      <c r="F6" s="282" t="s">
        <v>13</v>
      </c>
      <c r="G6" s="100"/>
      <c r="H6" s="218" t="s">
        <v>5</v>
      </c>
      <c r="I6" s="100"/>
      <c r="J6" s="218" t="s">
        <v>5</v>
      </c>
      <c r="K6" s="102"/>
      <c r="L6" s="218" t="s">
        <v>6</v>
      </c>
      <c r="M6" s="100"/>
      <c r="N6" s="218" t="s">
        <v>5</v>
      </c>
      <c r="O6" s="102"/>
      <c r="P6" s="218" t="s">
        <v>7</v>
      </c>
      <c r="Q6" s="100"/>
      <c r="R6" s="218" t="s">
        <v>5</v>
      </c>
      <c r="S6" s="102"/>
      <c r="T6" s="282" t="s">
        <v>14</v>
      </c>
      <c r="U6" s="100"/>
      <c r="V6" s="218" t="s">
        <v>5</v>
      </c>
      <c r="W6" s="100"/>
      <c r="X6" s="218" t="s">
        <v>5</v>
      </c>
      <c r="Y6" s="102"/>
      <c r="Z6" s="218" t="s">
        <v>6</v>
      </c>
      <c r="AA6" s="100"/>
      <c r="AB6" s="218" t="s">
        <v>5</v>
      </c>
      <c r="AC6" s="102"/>
      <c r="AD6" s="218" t="s">
        <v>7</v>
      </c>
      <c r="AE6" s="100"/>
      <c r="AF6" s="218" t="s">
        <v>5</v>
      </c>
      <c r="AG6" s="102"/>
      <c r="AH6" s="282" t="s">
        <v>106</v>
      </c>
      <c r="AI6" s="100"/>
      <c r="AJ6" s="218" t="s">
        <v>5</v>
      </c>
      <c r="AK6" s="100"/>
      <c r="AL6" s="218" t="s">
        <v>5</v>
      </c>
      <c r="AM6" s="102"/>
      <c r="AN6" s="218" t="s">
        <v>6</v>
      </c>
      <c r="AO6" s="100"/>
      <c r="AP6" s="218" t="s">
        <v>5</v>
      </c>
      <c r="AQ6" s="102"/>
      <c r="AR6" s="218" t="s">
        <v>7</v>
      </c>
      <c r="AS6" s="100"/>
      <c r="AT6" s="218" t="s">
        <v>5</v>
      </c>
      <c r="AU6" s="102"/>
      <c r="AV6" s="282" t="s">
        <v>107</v>
      </c>
      <c r="AW6" s="100"/>
      <c r="AX6" s="218" t="s">
        <v>5</v>
      </c>
      <c r="AY6" s="100"/>
      <c r="AZ6" s="218" t="s">
        <v>5</v>
      </c>
      <c r="BA6" s="102"/>
      <c r="BB6" s="218" t="s">
        <v>6</v>
      </c>
      <c r="BC6" s="100"/>
      <c r="BD6" s="218" t="s">
        <v>5</v>
      </c>
      <c r="BE6" s="102"/>
      <c r="BF6" s="218" t="s">
        <v>7</v>
      </c>
    </row>
    <row r="7" spans="2:58">
      <c r="B7" s="99"/>
      <c r="C7" s="99"/>
      <c r="D7" s="99"/>
      <c r="E7" s="99"/>
      <c r="F7" s="283"/>
      <c r="G7" s="100"/>
      <c r="H7" s="219" t="s">
        <v>15</v>
      </c>
      <c r="I7" s="100"/>
      <c r="J7" s="219" t="s">
        <v>15</v>
      </c>
      <c r="K7" s="101"/>
      <c r="L7" s="219" t="s">
        <v>15</v>
      </c>
      <c r="M7" s="100"/>
      <c r="N7" s="219" t="s">
        <v>15</v>
      </c>
      <c r="O7" s="101"/>
      <c r="P7" s="219" t="s">
        <v>15</v>
      </c>
      <c r="Q7" s="100"/>
      <c r="R7" s="219" t="s">
        <v>15</v>
      </c>
      <c r="S7" s="101"/>
      <c r="T7" s="283"/>
      <c r="U7" s="100"/>
      <c r="V7" s="219" t="s">
        <v>15</v>
      </c>
      <c r="W7" s="100"/>
      <c r="X7" s="219" t="s">
        <v>15</v>
      </c>
      <c r="Y7" s="101"/>
      <c r="Z7" s="219" t="s">
        <v>15</v>
      </c>
      <c r="AA7" s="100"/>
      <c r="AB7" s="219" t="s">
        <v>15</v>
      </c>
      <c r="AC7" s="101"/>
      <c r="AD7" s="219" t="s">
        <v>15</v>
      </c>
      <c r="AE7" s="100"/>
      <c r="AF7" s="219" t="s">
        <v>15</v>
      </c>
      <c r="AG7" s="101"/>
      <c r="AH7" s="283"/>
      <c r="AI7" s="100"/>
      <c r="AJ7" s="219" t="s">
        <v>15</v>
      </c>
      <c r="AK7" s="100"/>
      <c r="AL7" s="219" t="s">
        <v>15</v>
      </c>
      <c r="AM7" s="101"/>
      <c r="AN7" s="219" t="s">
        <v>15</v>
      </c>
      <c r="AO7" s="100"/>
      <c r="AP7" s="219" t="s">
        <v>15</v>
      </c>
      <c r="AQ7" s="101"/>
      <c r="AR7" s="219" t="s">
        <v>15</v>
      </c>
      <c r="AS7" s="100"/>
      <c r="AT7" s="219" t="s">
        <v>15</v>
      </c>
      <c r="AU7" s="101"/>
      <c r="AV7" s="283"/>
      <c r="AW7" s="100"/>
      <c r="AX7" s="219" t="s">
        <v>15</v>
      </c>
      <c r="AY7" s="100"/>
      <c r="AZ7" s="219" t="s">
        <v>15</v>
      </c>
      <c r="BA7" s="101"/>
      <c r="BB7" s="219" t="s">
        <v>15</v>
      </c>
      <c r="BC7" s="100"/>
      <c r="BD7" s="219" t="s">
        <v>15</v>
      </c>
      <c r="BE7" s="101"/>
      <c r="BF7" s="219" t="s">
        <v>15</v>
      </c>
    </row>
    <row r="8" spans="2:58">
      <c r="B8" s="99"/>
      <c r="C8" s="99"/>
      <c r="D8" s="99"/>
      <c r="E8" s="99"/>
      <c r="F8" s="283"/>
      <c r="G8" s="100"/>
      <c r="H8" s="219" t="s">
        <v>16</v>
      </c>
      <c r="I8" s="100"/>
      <c r="J8" s="219" t="s">
        <v>17</v>
      </c>
      <c r="K8" s="101"/>
      <c r="L8" s="219" t="s">
        <v>17</v>
      </c>
      <c r="M8" s="100"/>
      <c r="N8" s="219" t="s">
        <v>21</v>
      </c>
      <c r="O8" s="101"/>
      <c r="P8" s="219" t="s">
        <v>21</v>
      </c>
      <c r="Q8" s="100"/>
      <c r="R8" s="219" t="s">
        <v>22</v>
      </c>
      <c r="S8" s="101"/>
      <c r="T8" s="283"/>
      <c r="U8" s="100"/>
      <c r="V8" s="219" t="s">
        <v>16</v>
      </c>
      <c r="W8" s="100"/>
      <c r="X8" s="219" t="s">
        <v>17</v>
      </c>
      <c r="Y8" s="101"/>
      <c r="Z8" s="219" t="s">
        <v>17</v>
      </c>
      <c r="AA8" s="100"/>
      <c r="AB8" s="219" t="s">
        <v>21</v>
      </c>
      <c r="AC8" s="101"/>
      <c r="AD8" s="219" t="s">
        <v>21</v>
      </c>
      <c r="AE8" s="100"/>
      <c r="AF8" s="219" t="s">
        <v>22</v>
      </c>
      <c r="AG8" s="101"/>
      <c r="AH8" s="283"/>
      <c r="AI8" s="100"/>
      <c r="AJ8" s="219" t="s">
        <v>16</v>
      </c>
      <c r="AK8" s="100"/>
      <c r="AL8" s="219" t="s">
        <v>17</v>
      </c>
      <c r="AM8" s="101"/>
      <c r="AN8" s="219" t="s">
        <v>17</v>
      </c>
      <c r="AO8" s="100"/>
      <c r="AP8" s="219" t="s">
        <v>18</v>
      </c>
      <c r="AQ8" s="101"/>
      <c r="AR8" s="219" t="s">
        <v>18</v>
      </c>
      <c r="AS8" s="100"/>
      <c r="AT8" s="219" t="s">
        <v>22</v>
      </c>
      <c r="AU8" s="101"/>
      <c r="AV8" s="283"/>
      <c r="AW8" s="100"/>
      <c r="AX8" s="219" t="s">
        <v>16</v>
      </c>
      <c r="AY8" s="100"/>
      <c r="AZ8" s="219" t="s">
        <v>17</v>
      </c>
      <c r="BA8" s="101"/>
      <c r="BB8" s="219" t="s">
        <v>17</v>
      </c>
      <c r="BC8" s="100"/>
      <c r="BD8" s="219" t="s">
        <v>18</v>
      </c>
      <c r="BE8" s="101"/>
      <c r="BF8" s="219" t="s">
        <v>18</v>
      </c>
    </row>
    <row r="9" spans="2:58">
      <c r="B9" s="105"/>
      <c r="C9" s="106"/>
      <c r="D9" s="106"/>
      <c r="E9" s="106"/>
      <c r="F9" s="284"/>
      <c r="G9" s="100"/>
      <c r="H9" s="220">
        <v>2016</v>
      </c>
      <c r="I9" s="100"/>
      <c r="J9" s="220">
        <v>2016</v>
      </c>
      <c r="K9" s="101"/>
      <c r="L9" s="220">
        <v>2016</v>
      </c>
      <c r="M9" s="100"/>
      <c r="N9" s="220">
        <v>2016</v>
      </c>
      <c r="O9" s="101"/>
      <c r="P9" s="220">
        <v>2016</v>
      </c>
      <c r="Q9" s="100"/>
      <c r="R9" s="220">
        <v>2016</v>
      </c>
      <c r="S9" s="101"/>
      <c r="T9" s="284"/>
      <c r="U9" s="100"/>
      <c r="V9" s="220">
        <v>2017</v>
      </c>
      <c r="W9" s="100"/>
      <c r="X9" s="220">
        <v>2017</v>
      </c>
      <c r="Y9" s="101"/>
      <c r="Z9" s="220">
        <v>2017</v>
      </c>
      <c r="AA9" s="100"/>
      <c r="AB9" s="220">
        <v>2017</v>
      </c>
      <c r="AC9" s="101"/>
      <c r="AD9" s="220">
        <v>2017</v>
      </c>
      <c r="AE9" s="100"/>
      <c r="AF9" s="220">
        <v>2017</v>
      </c>
      <c r="AG9" s="101"/>
      <c r="AH9" s="284"/>
      <c r="AI9" s="100"/>
      <c r="AJ9" s="220">
        <v>2018</v>
      </c>
      <c r="AK9" s="100"/>
      <c r="AL9" s="220">
        <v>2018</v>
      </c>
      <c r="AM9" s="101"/>
      <c r="AN9" s="220">
        <v>2018</v>
      </c>
      <c r="AO9" s="100"/>
      <c r="AP9" s="220">
        <v>2018</v>
      </c>
      <c r="AQ9" s="101"/>
      <c r="AR9" s="220">
        <v>2018</v>
      </c>
      <c r="AS9" s="100"/>
      <c r="AT9" s="220">
        <v>2018</v>
      </c>
      <c r="AU9" s="101"/>
      <c r="AV9" s="284"/>
      <c r="AW9" s="100"/>
      <c r="AX9" s="220">
        <v>2019</v>
      </c>
      <c r="AY9" s="100"/>
      <c r="AZ9" s="220">
        <v>2019</v>
      </c>
      <c r="BA9" s="101"/>
      <c r="BB9" s="220">
        <v>2019</v>
      </c>
      <c r="BC9" s="100"/>
      <c r="BD9" s="220">
        <v>2019</v>
      </c>
      <c r="BE9" s="101"/>
      <c r="BF9" s="220">
        <v>2019</v>
      </c>
    </row>
    <row r="10" spans="2:58">
      <c r="B10" s="105"/>
      <c r="C10" s="106"/>
      <c r="D10" s="106"/>
      <c r="E10" s="106"/>
      <c r="F10" s="223"/>
      <c r="G10" s="100"/>
      <c r="H10" s="221"/>
      <c r="I10" s="100"/>
      <c r="J10" s="222"/>
      <c r="K10" s="101"/>
      <c r="L10" s="223"/>
      <c r="M10" s="100"/>
      <c r="N10" s="222"/>
      <c r="O10" s="101"/>
      <c r="P10" s="223"/>
      <c r="Q10" s="100"/>
      <c r="R10" s="222"/>
      <c r="S10" s="101"/>
      <c r="T10" s="223"/>
      <c r="U10" s="100"/>
      <c r="V10" s="221"/>
      <c r="W10" s="100"/>
      <c r="X10" s="222"/>
      <c r="Y10" s="101"/>
      <c r="Z10" s="223"/>
      <c r="AA10" s="100"/>
      <c r="AB10" s="222"/>
      <c r="AC10" s="101"/>
      <c r="AD10" s="223"/>
      <c r="AE10" s="100"/>
      <c r="AF10" s="222"/>
      <c r="AG10" s="101"/>
      <c r="AH10" s="223"/>
      <c r="AI10" s="100"/>
      <c r="AJ10" s="221"/>
      <c r="AK10" s="100"/>
      <c r="AL10" s="222"/>
      <c r="AM10" s="101"/>
      <c r="AN10" s="223"/>
      <c r="AO10" s="100"/>
      <c r="AP10" s="222"/>
      <c r="AQ10" s="101"/>
      <c r="AR10" s="223"/>
      <c r="AS10" s="100"/>
      <c r="AT10" s="222"/>
      <c r="AU10" s="101"/>
      <c r="AV10" s="223"/>
      <c r="AW10" s="100"/>
      <c r="AX10" s="221"/>
      <c r="AY10" s="100"/>
      <c r="AZ10" s="222"/>
      <c r="BA10" s="101"/>
      <c r="BB10" s="223"/>
      <c r="BC10" s="100"/>
      <c r="BD10" s="222"/>
      <c r="BE10" s="101"/>
      <c r="BF10" s="223"/>
    </row>
    <row r="11" spans="2:58">
      <c r="B11" s="105" t="s">
        <v>87</v>
      </c>
      <c r="C11" s="106"/>
      <c r="D11" s="106"/>
      <c r="E11" s="106"/>
      <c r="F11" s="223"/>
      <c r="G11" s="100"/>
      <c r="H11" s="221"/>
      <c r="I11" s="100"/>
      <c r="J11" s="222"/>
      <c r="K11" s="101"/>
      <c r="L11" s="223"/>
      <c r="M11" s="100"/>
      <c r="N11" s="222"/>
      <c r="O11" s="101"/>
      <c r="P11" s="223"/>
      <c r="Q11" s="100"/>
      <c r="R11" s="222"/>
      <c r="S11" s="101"/>
      <c r="T11" s="223"/>
      <c r="U11" s="100"/>
      <c r="V11" s="221"/>
      <c r="W11" s="100"/>
      <c r="X11" s="222"/>
      <c r="Y11" s="101"/>
      <c r="Z11" s="223"/>
      <c r="AA11" s="100"/>
      <c r="AB11" s="222"/>
      <c r="AC11" s="101"/>
      <c r="AD11" s="223"/>
      <c r="AE11" s="100"/>
      <c r="AF11" s="222"/>
      <c r="AG11" s="101"/>
      <c r="AH11" s="223"/>
      <c r="AI11" s="100"/>
      <c r="AJ11" s="221"/>
      <c r="AK11" s="100"/>
      <c r="AL11" s="222"/>
      <c r="AM11" s="101"/>
      <c r="AN11" s="223"/>
      <c r="AO11" s="100"/>
      <c r="AP11" s="222"/>
      <c r="AQ11" s="101"/>
      <c r="AR11" s="223"/>
      <c r="AS11" s="100"/>
      <c r="AT11" s="222"/>
      <c r="AU11" s="101"/>
      <c r="AV11" s="223"/>
      <c r="AW11" s="100"/>
      <c r="AX11" s="221"/>
      <c r="AY11" s="100"/>
      <c r="AZ11" s="222"/>
      <c r="BA11" s="101"/>
      <c r="BB11" s="223"/>
      <c r="BC11" s="100"/>
      <c r="BD11" s="222"/>
      <c r="BE11" s="101"/>
      <c r="BF11" s="223"/>
    </row>
    <row r="12" spans="2:58">
      <c r="B12" s="105"/>
      <c r="C12" s="224" t="s">
        <v>23</v>
      </c>
      <c r="D12" s="225"/>
      <c r="E12" s="106"/>
      <c r="F12" s="223"/>
      <c r="G12" s="100"/>
      <c r="H12" s="221"/>
      <c r="I12" s="100"/>
      <c r="J12" s="222"/>
      <c r="K12" s="101"/>
      <c r="L12" s="223"/>
      <c r="M12" s="100"/>
      <c r="N12" s="222"/>
      <c r="O12" s="101"/>
      <c r="P12" s="223"/>
      <c r="Q12" s="100"/>
      <c r="R12" s="222"/>
      <c r="S12" s="101"/>
      <c r="T12" s="223"/>
      <c r="U12" s="100"/>
      <c r="V12" s="221"/>
      <c r="W12" s="100"/>
      <c r="X12" s="222"/>
      <c r="Y12" s="101"/>
      <c r="Z12" s="223"/>
      <c r="AA12" s="100"/>
      <c r="AB12" s="222"/>
      <c r="AC12" s="101"/>
      <c r="AD12" s="223"/>
      <c r="AE12" s="100"/>
      <c r="AF12" s="222"/>
      <c r="AG12" s="101"/>
      <c r="AH12" s="223"/>
      <c r="AI12" s="100"/>
      <c r="AJ12" s="221"/>
      <c r="AK12" s="100"/>
      <c r="AL12" s="222"/>
      <c r="AM12" s="101"/>
      <c r="AN12" s="223"/>
      <c r="AO12" s="100"/>
      <c r="AP12" s="222"/>
      <c r="AQ12" s="101"/>
      <c r="AR12" s="223"/>
      <c r="AS12" s="100"/>
      <c r="AT12" s="222"/>
      <c r="AU12" s="101"/>
      <c r="AV12" s="223"/>
      <c r="AW12" s="100"/>
      <c r="AX12" s="221"/>
      <c r="AY12" s="100"/>
      <c r="AZ12" s="222"/>
      <c r="BA12" s="101"/>
      <c r="BB12" s="223"/>
      <c r="BC12" s="100"/>
      <c r="BD12" s="222"/>
      <c r="BE12" s="101"/>
      <c r="BF12" s="223"/>
    </row>
    <row r="13" spans="2:58">
      <c r="B13" s="226"/>
      <c r="C13" s="227"/>
      <c r="D13" s="228" t="s">
        <v>88</v>
      </c>
      <c r="E13" s="130"/>
      <c r="F13" s="232">
        <v>296943</v>
      </c>
      <c r="G13" s="233"/>
      <c r="H13" s="229">
        <v>75927</v>
      </c>
      <c r="I13" s="233"/>
      <c r="J13" s="231">
        <v>77094</v>
      </c>
      <c r="K13" s="230"/>
      <c r="L13" s="232">
        <f>153021-1</f>
        <v>153020</v>
      </c>
      <c r="M13" s="233"/>
      <c r="N13" s="231">
        <v>78468</v>
      </c>
      <c r="O13" s="230"/>
      <c r="P13" s="232">
        <v>231490</v>
      </c>
      <c r="Q13" s="233"/>
      <c r="R13" s="231">
        <v>77974</v>
      </c>
      <c r="S13" s="230"/>
      <c r="T13" s="232">
        <v>309463</v>
      </c>
      <c r="U13" s="233"/>
      <c r="V13" s="229">
        <v>78853</v>
      </c>
      <c r="W13" s="233"/>
      <c r="X13" s="231">
        <v>80889</v>
      </c>
      <c r="Y13" s="230"/>
      <c r="Z13" s="232">
        <v>159743</v>
      </c>
      <c r="AA13" s="233"/>
      <c r="AB13" s="231">
        <v>79806</v>
      </c>
      <c r="AC13" s="230"/>
      <c r="AD13" s="232">
        <v>239548</v>
      </c>
      <c r="AE13" s="233"/>
      <c r="AF13" s="231">
        <v>79034</v>
      </c>
      <c r="AG13" s="230"/>
      <c r="AH13" s="232">
        <v>318584</v>
      </c>
      <c r="AI13" s="233"/>
      <c r="AJ13" s="229">
        <f>80002+16</f>
        <v>80018</v>
      </c>
      <c r="AK13" s="233"/>
      <c r="AL13" s="231">
        <f>80288-1</f>
        <v>80287</v>
      </c>
      <c r="AM13" s="230"/>
      <c r="AN13" s="232">
        <f>160291+16</f>
        <v>160307</v>
      </c>
      <c r="AO13" s="233"/>
      <c r="AP13" s="231">
        <f>80675+22</f>
        <v>80697</v>
      </c>
      <c r="AQ13" s="230"/>
      <c r="AR13" s="232">
        <f>240966+37</f>
        <v>241003</v>
      </c>
      <c r="AS13" s="233"/>
      <c r="AT13" s="231">
        <f>80024+348</f>
        <v>80372</v>
      </c>
      <c r="AU13" s="230"/>
      <c r="AV13" s="232">
        <f>320990+385</f>
        <v>321375</v>
      </c>
      <c r="AW13" s="233"/>
      <c r="AX13" s="229">
        <f>80836+322</f>
        <v>81158</v>
      </c>
      <c r="AY13" s="233"/>
      <c r="AZ13" s="231">
        <f>81501-586</f>
        <v>80915</v>
      </c>
      <c r="BA13" s="230"/>
      <c r="BB13" s="232">
        <f>162338-264</f>
        <v>162074</v>
      </c>
      <c r="BC13" s="233"/>
      <c r="BD13" s="231">
        <v>83192</v>
      </c>
      <c r="BE13" s="230"/>
      <c r="BF13" s="232">
        <v>245265</v>
      </c>
    </row>
    <row r="14" spans="2:58">
      <c r="B14" s="226"/>
      <c r="C14" s="234"/>
      <c r="D14" s="228" t="s">
        <v>89</v>
      </c>
      <c r="E14" s="130"/>
      <c r="F14" s="238">
        <v>220643</v>
      </c>
      <c r="G14" s="97"/>
      <c r="H14" s="235">
        <v>53807</v>
      </c>
      <c r="I14" s="97"/>
      <c r="J14" s="237">
        <v>53323</v>
      </c>
      <c r="K14" s="236"/>
      <c r="L14" s="238">
        <v>107130</v>
      </c>
      <c r="M14" s="97"/>
      <c r="N14" s="237">
        <v>52791</v>
      </c>
      <c r="O14" s="236"/>
      <c r="P14" s="238">
        <v>159921</v>
      </c>
      <c r="Q14" s="97"/>
      <c r="R14" s="237">
        <v>51923</v>
      </c>
      <c r="S14" s="236"/>
      <c r="T14" s="238">
        <v>211846</v>
      </c>
      <c r="U14" s="97"/>
      <c r="V14" s="235">
        <v>50841</v>
      </c>
      <c r="W14" s="97"/>
      <c r="X14" s="237">
        <v>50370</v>
      </c>
      <c r="Y14" s="236"/>
      <c r="Z14" s="238">
        <v>101211</v>
      </c>
      <c r="AA14" s="97"/>
      <c r="AB14" s="237">
        <v>49548</v>
      </c>
      <c r="AC14" s="236"/>
      <c r="AD14" s="238">
        <v>150759</v>
      </c>
      <c r="AE14" s="97"/>
      <c r="AF14" s="237">
        <v>48458</v>
      </c>
      <c r="AG14" s="236"/>
      <c r="AH14" s="238">
        <v>199216</v>
      </c>
      <c r="AI14" s="97"/>
      <c r="AJ14" s="235">
        <f>47962-182</f>
        <v>47780</v>
      </c>
      <c r="AK14" s="97"/>
      <c r="AL14" s="237">
        <f>46596-150</f>
        <v>46446</v>
      </c>
      <c r="AM14" s="236"/>
      <c r="AN14" s="238">
        <f>94557-332</f>
        <v>94225</v>
      </c>
      <c r="AO14" s="97"/>
      <c r="AP14" s="237">
        <f>45741-162</f>
        <v>45579</v>
      </c>
      <c r="AQ14" s="236"/>
      <c r="AR14" s="238">
        <f>140298-494</f>
        <v>139804</v>
      </c>
      <c r="AS14" s="97"/>
      <c r="AT14" s="237">
        <f>44822-154</f>
        <v>44668</v>
      </c>
      <c r="AU14" s="236"/>
      <c r="AV14" s="238">
        <f>185121-648</f>
        <v>184473</v>
      </c>
      <c r="AW14" s="97"/>
      <c r="AX14" s="235">
        <f>43574-153</f>
        <v>43421</v>
      </c>
      <c r="AY14" s="97"/>
      <c r="AZ14" s="237">
        <f>42605-106</f>
        <v>42499</v>
      </c>
      <c r="BA14" s="236"/>
      <c r="BB14" s="238">
        <f>86179-259</f>
        <v>85920</v>
      </c>
      <c r="BC14" s="97"/>
      <c r="BD14" s="237">
        <v>41325</v>
      </c>
      <c r="BE14" s="236"/>
      <c r="BF14" s="238">
        <v>127245</v>
      </c>
    </row>
    <row r="15" spans="2:58">
      <c r="B15" s="226"/>
      <c r="C15" s="234"/>
      <c r="D15" s="228" t="s">
        <v>90</v>
      </c>
      <c r="E15" s="130"/>
      <c r="F15" s="242">
        <v>181352</v>
      </c>
      <c r="G15" s="97"/>
      <c r="H15" s="240">
        <v>42917</v>
      </c>
      <c r="I15" s="97"/>
      <c r="J15" s="241">
        <v>44396</v>
      </c>
      <c r="K15" s="236"/>
      <c r="L15" s="242">
        <v>87313</v>
      </c>
      <c r="M15" s="97"/>
      <c r="N15" s="241">
        <v>43101</v>
      </c>
      <c r="O15" s="236"/>
      <c r="P15" s="242">
        <v>130413</v>
      </c>
      <c r="Q15" s="97"/>
      <c r="R15" s="241">
        <f>44137</f>
        <v>44137</v>
      </c>
      <c r="S15" s="236"/>
      <c r="T15" s="242">
        <v>174550</v>
      </c>
      <c r="U15" s="97"/>
      <c r="V15" s="240">
        <v>49178</v>
      </c>
      <c r="W15" s="97"/>
      <c r="X15" s="241">
        <v>49037</v>
      </c>
      <c r="Y15" s="236"/>
      <c r="Z15" s="242">
        <v>98213</v>
      </c>
      <c r="AA15" s="97"/>
      <c r="AB15" s="241">
        <v>48872</v>
      </c>
      <c r="AC15" s="236"/>
      <c r="AD15" s="242">
        <v>147086</v>
      </c>
      <c r="AE15" s="97"/>
      <c r="AF15" s="241">
        <v>47993</v>
      </c>
      <c r="AG15" s="236"/>
      <c r="AH15" s="242">
        <v>195078</v>
      </c>
      <c r="AI15" s="97"/>
      <c r="AJ15" s="240">
        <v>47201</v>
      </c>
      <c r="AK15" s="97"/>
      <c r="AL15" s="241">
        <v>46416</v>
      </c>
      <c r="AM15" s="236"/>
      <c r="AN15" s="242">
        <v>93616</v>
      </c>
      <c r="AO15" s="97"/>
      <c r="AP15" s="241">
        <v>49926</v>
      </c>
      <c r="AQ15" s="236"/>
      <c r="AR15" s="242">
        <v>143543</v>
      </c>
      <c r="AS15" s="97"/>
      <c r="AT15" s="241">
        <v>47555</v>
      </c>
      <c r="AU15" s="236"/>
      <c r="AV15" s="242">
        <v>191098</v>
      </c>
      <c r="AW15" s="97"/>
      <c r="AX15" s="240">
        <v>45830</v>
      </c>
      <c r="AY15" s="97"/>
      <c r="AZ15" s="241">
        <v>48530</v>
      </c>
      <c r="BA15" s="236"/>
      <c r="BB15" s="242">
        <v>94360</v>
      </c>
      <c r="BC15" s="97"/>
      <c r="BD15" s="241">
        <v>44638</v>
      </c>
      <c r="BE15" s="236"/>
      <c r="BF15" s="242">
        <v>138998</v>
      </c>
    </row>
    <row r="16" spans="2:58">
      <c r="B16" s="226"/>
      <c r="C16" s="234"/>
      <c r="D16" s="228" t="s">
        <v>91</v>
      </c>
      <c r="E16" s="130"/>
      <c r="F16" s="238">
        <f>SUM(F13:F15)</f>
        <v>698938</v>
      </c>
      <c r="G16" s="236"/>
      <c r="H16" s="235">
        <f>SUM(H13:H15)</f>
        <v>172651</v>
      </c>
      <c r="I16" s="97"/>
      <c r="J16" s="237">
        <f>SUM(J13:J15)</f>
        <v>174813</v>
      </c>
      <c r="K16" s="236"/>
      <c r="L16" s="238">
        <f>SUM(L13:L15)</f>
        <v>347463</v>
      </c>
      <c r="M16" s="97"/>
      <c r="N16" s="237">
        <f>SUM(N13:N15)</f>
        <v>174360</v>
      </c>
      <c r="O16" s="236"/>
      <c r="P16" s="238">
        <f>SUM(P13:P15)</f>
        <v>521824</v>
      </c>
      <c r="Q16" s="97"/>
      <c r="R16" s="237">
        <f>SUM(R13:R15)</f>
        <v>174034</v>
      </c>
      <c r="S16" s="236"/>
      <c r="T16" s="238">
        <f>SUM(T13:T15)</f>
        <v>695859</v>
      </c>
      <c r="U16" s="236"/>
      <c r="V16" s="235">
        <f>SUM(V13:V15)</f>
        <v>178872</v>
      </c>
      <c r="W16" s="97"/>
      <c r="X16" s="237">
        <f>SUM(X13:X15)</f>
        <v>180296</v>
      </c>
      <c r="Y16" s="236"/>
      <c r="Z16" s="238">
        <f>SUM(Z13:Z15)</f>
        <v>359167</v>
      </c>
      <c r="AA16" s="97"/>
      <c r="AB16" s="237">
        <f>SUM(AB13:AB15)</f>
        <v>178226</v>
      </c>
      <c r="AC16" s="236"/>
      <c r="AD16" s="238">
        <f>SUM(AD13:AD15)</f>
        <v>537393</v>
      </c>
      <c r="AE16" s="97"/>
      <c r="AF16" s="237">
        <f>SUM(AF13:AF15)</f>
        <v>175485</v>
      </c>
      <c r="AG16" s="236"/>
      <c r="AH16" s="238">
        <f>SUM(AH13:AH15)</f>
        <v>712878</v>
      </c>
      <c r="AI16" s="236"/>
      <c r="AJ16" s="235">
        <f>SUM(AJ13:AJ15)</f>
        <v>174999</v>
      </c>
      <c r="AK16" s="97"/>
      <c r="AL16" s="237">
        <f>SUM(AL13:AL15)</f>
        <v>173149</v>
      </c>
      <c r="AM16" s="236"/>
      <c r="AN16" s="238">
        <f>SUM(AN13:AN15)</f>
        <v>348148</v>
      </c>
      <c r="AO16" s="97"/>
      <c r="AP16" s="237">
        <f>SUM(AP13:AP15)</f>
        <v>176202</v>
      </c>
      <c r="AQ16" s="236"/>
      <c r="AR16" s="238">
        <f>SUM(AR13:AR15)</f>
        <v>524350</v>
      </c>
      <c r="AS16" s="97"/>
      <c r="AT16" s="237">
        <f>SUM(AT13:AT15)+1</f>
        <v>172596</v>
      </c>
      <c r="AU16" s="236"/>
      <c r="AV16" s="238">
        <f>SUM(AV13:AV15)</f>
        <v>696946</v>
      </c>
      <c r="AW16" s="236"/>
      <c r="AX16" s="235">
        <f>SUM(AX13:AX15)</f>
        <v>170409</v>
      </c>
      <c r="AY16" s="97"/>
      <c r="AZ16" s="237">
        <f>SUM(AZ13:AZ15)+1</f>
        <v>171945</v>
      </c>
      <c r="BA16" s="236"/>
      <c r="BB16" s="238">
        <f>SUM(BB13:BB15)</f>
        <v>342354</v>
      </c>
      <c r="BC16" s="97"/>
      <c r="BD16" s="237">
        <f>SUM(BD13:BD15)</f>
        <v>169155</v>
      </c>
      <c r="BE16" s="236"/>
      <c r="BF16" s="238">
        <f>SUM(BF13:BF15)+1</f>
        <v>511509</v>
      </c>
    </row>
    <row r="17" spans="2:58">
      <c r="B17" s="226"/>
      <c r="C17" s="234"/>
      <c r="D17" s="228" t="s">
        <v>92</v>
      </c>
      <c r="E17" s="130"/>
      <c r="F17" s="242">
        <v>1965</v>
      </c>
      <c r="G17" s="97"/>
      <c r="H17" s="235">
        <v>527</v>
      </c>
      <c r="I17" s="97"/>
      <c r="J17" s="241">
        <v>495</v>
      </c>
      <c r="K17" s="236"/>
      <c r="L17" s="242">
        <v>1023</v>
      </c>
      <c r="M17" s="97"/>
      <c r="N17" s="241">
        <v>435</v>
      </c>
      <c r="O17" s="236"/>
      <c r="P17" s="242">
        <v>1455</v>
      </c>
      <c r="Q17" s="97"/>
      <c r="R17" s="241">
        <v>342</v>
      </c>
      <c r="S17" s="236"/>
      <c r="T17" s="242">
        <v>1799</v>
      </c>
      <c r="U17" s="97"/>
      <c r="V17" s="235">
        <v>329</v>
      </c>
      <c r="W17" s="97"/>
      <c r="X17" s="241">
        <v>320</v>
      </c>
      <c r="Y17" s="236"/>
      <c r="Z17" s="242">
        <v>649</v>
      </c>
      <c r="AA17" s="97"/>
      <c r="AB17" s="241">
        <v>313</v>
      </c>
      <c r="AC17" s="236"/>
      <c r="AD17" s="242">
        <v>962</v>
      </c>
      <c r="AE17" s="97"/>
      <c r="AF17" s="241">
        <v>238</v>
      </c>
      <c r="AG17" s="236"/>
      <c r="AH17" s="242">
        <v>1200</v>
      </c>
      <c r="AI17" s="97"/>
      <c r="AJ17" s="235">
        <v>414</v>
      </c>
      <c r="AK17" s="97"/>
      <c r="AL17" s="241">
        <v>488</v>
      </c>
      <c r="AM17" s="236"/>
      <c r="AN17" s="242">
        <v>902</v>
      </c>
      <c r="AO17" s="97"/>
      <c r="AP17" s="241">
        <v>359</v>
      </c>
      <c r="AQ17" s="236"/>
      <c r="AR17" s="242">
        <v>1261</v>
      </c>
      <c r="AS17" s="97"/>
      <c r="AT17" s="241">
        <v>363</v>
      </c>
      <c r="AU17" s="236"/>
      <c r="AV17" s="242">
        <v>1624</v>
      </c>
      <c r="AW17" s="97"/>
      <c r="AX17" s="235">
        <v>338</v>
      </c>
      <c r="AY17" s="97"/>
      <c r="AZ17" s="241">
        <v>312</v>
      </c>
      <c r="BA17" s="236"/>
      <c r="BB17" s="242">
        <v>650</v>
      </c>
      <c r="BC17" s="97"/>
      <c r="BD17" s="241">
        <v>290</v>
      </c>
      <c r="BE17" s="236"/>
      <c r="BF17" s="242">
        <v>939</v>
      </c>
    </row>
    <row r="18" spans="2:58">
      <c r="B18" s="226"/>
      <c r="C18" s="97"/>
      <c r="D18" s="100" t="s">
        <v>93</v>
      </c>
      <c r="E18" s="130"/>
      <c r="F18" s="245">
        <f>F16+F17</f>
        <v>700903</v>
      </c>
      <c r="G18" s="236"/>
      <c r="H18" s="243">
        <f>H16+H17</f>
        <v>173178</v>
      </c>
      <c r="I18" s="97"/>
      <c r="J18" s="244">
        <f>J16+J17</f>
        <v>175308</v>
      </c>
      <c r="K18" s="236"/>
      <c r="L18" s="245">
        <f>L16+L17</f>
        <v>348486</v>
      </c>
      <c r="M18" s="97"/>
      <c r="N18" s="244">
        <f>N16+N17</f>
        <v>174795</v>
      </c>
      <c r="O18" s="236"/>
      <c r="P18" s="245">
        <f>P16+P17</f>
        <v>523279</v>
      </c>
      <c r="Q18" s="97"/>
      <c r="R18" s="244">
        <f>R16+R17</f>
        <v>174376</v>
      </c>
      <c r="S18" s="236"/>
      <c r="T18" s="245">
        <f>T16+T17</f>
        <v>697658</v>
      </c>
      <c r="U18" s="236"/>
      <c r="V18" s="243">
        <f>V16+V17</f>
        <v>179201</v>
      </c>
      <c r="W18" s="97"/>
      <c r="X18" s="244">
        <f>X16+X17</f>
        <v>180616</v>
      </c>
      <c r="Y18" s="236"/>
      <c r="Z18" s="245">
        <f>Z16+Z17</f>
        <v>359816</v>
      </c>
      <c r="AA18" s="97"/>
      <c r="AB18" s="244">
        <f>AB16+AB17</f>
        <v>178539</v>
      </c>
      <c r="AC18" s="236"/>
      <c r="AD18" s="245">
        <f>AD16+AD17</f>
        <v>538355</v>
      </c>
      <c r="AE18" s="97"/>
      <c r="AF18" s="244">
        <f>AF16+AF17</f>
        <v>175723</v>
      </c>
      <c r="AG18" s="236"/>
      <c r="AH18" s="245">
        <f>AH16+AH17</f>
        <v>714078</v>
      </c>
      <c r="AI18" s="236"/>
      <c r="AJ18" s="243">
        <f>AJ16+AJ17</f>
        <v>175413</v>
      </c>
      <c r="AK18" s="97"/>
      <c r="AL18" s="244">
        <f>AL16+AL17</f>
        <v>173637</v>
      </c>
      <c r="AM18" s="236"/>
      <c r="AN18" s="245">
        <f>AN16+AN17</f>
        <v>349050</v>
      </c>
      <c r="AO18" s="97"/>
      <c r="AP18" s="244">
        <f>AP16+AP17</f>
        <v>176561</v>
      </c>
      <c r="AQ18" s="236"/>
      <c r="AR18" s="245">
        <f>AR16+AR17</f>
        <v>525611</v>
      </c>
      <c r="AS18" s="97"/>
      <c r="AT18" s="244">
        <f>AT16+AT17</f>
        <v>172959</v>
      </c>
      <c r="AU18" s="236"/>
      <c r="AV18" s="245">
        <f>AV16+AV17</f>
        <v>698570</v>
      </c>
      <c r="AW18" s="236"/>
      <c r="AX18" s="243">
        <f>AX16+AX17</f>
        <v>170747</v>
      </c>
      <c r="AY18" s="97"/>
      <c r="AZ18" s="244">
        <f>AZ16+AZ17</f>
        <v>172257</v>
      </c>
      <c r="BA18" s="236"/>
      <c r="BB18" s="245">
        <f>BB16+BB17-1</f>
        <v>343003</v>
      </c>
      <c r="BC18" s="97"/>
      <c r="BD18" s="244">
        <f>BD16+BD17</f>
        <v>169445</v>
      </c>
      <c r="BE18" s="236"/>
      <c r="BF18" s="245">
        <f>BF16+BF17</f>
        <v>512448</v>
      </c>
    </row>
    <row r="19" spans="2:58">
      <c r="B19" s="226"/>
      <c r="C19" s="97"/>
      <c r="D19" s="97"/>
      <c r="E19" s="130"/>
      <c r="F19" s="248"/>
      <c r="G19" s="97"/>
      <c r="H19" s="246"/>
      <c r="I19" s="97"/>
      <c r="J19" s="247"/>
      <c r="K19" s="239"/>
      <c r="L19" s="248"/>
      <c r="M19" s="97"/>
      <c r="N19" s="247"/>
      <c r="O19" s="239"/>
      <c r="P19" s="248"/>
      <c r="Q19" s="97"/>
      <c r="R19" s="247"/>
      <c r="S19" s="239"/>
      <c r="T19" s="248"/>
      <c r="U19" s="97"/>
      <c r="V19" s="246"/>
      <c r="W19" s="97"/>
      <c r="X19" s="247"/>
      <c r="Y19" s="239"/>
      <c r="Z19" s="248"/>
      <c r="AA19" s="97"/>
      <c r="AB19" s="247"/>
      <c r="AC19" s="239"/>
      <c r="AD19" s="248"/>
      <c r="AE19" s="97"/>
      <c r="AF19" s="247"/>
      <c r="AG19" s="239"/>
      <c r="AH19" s="248"/>
      <c r="AI19" s="97"/>
      <c r="AJ19" s="246"/>
      <c r="AK19" s="97"/>
      <c r="AL19" s="247"/>
      <c r="AM19" s="239"/>
      <c r="AN19" s="248"/>
      <c r="AO19" s="97"/>
      <c r="AP19" s="247"/>
      <c r="AQ19" s="239"/>
      <c r="AR19" s="248"/>
      <c r="AS19" s="97"/>
      <c r="AT19" s="247"/>
      <c r="AU19" s="239"/>
      <c r="AV19" s="248"/>
      <c r="AW19" s="97"/>
      <c r="AX19" s="246"/>
      <c r="AY19" s="97"/>
      <c r="AZ19" s="247"/>
      <c r="BA19" s="239"/>
      <c r="BB19" s="248"/>
      <c r="BC19" s="97"/>
      <c r="BD19" s="247"/>
      <c r="BE19" s="239"/>
      <c r="BF19" s="248"/>
    </row>
    <row r="20" spans="2:58">
      <c r="B20" s="105"/>
      <c r="C20" s="249" t="s">
        <v>28</v>
      </c>
      <c r="D20" s="228"/>
      <c r="E20" s="106"/>
      <c r="F20" s="248"/>
      <c r="G20" s="97"/>
      <c r="H20" s="246"/>
      <c r="I20" s="97"/>
      <c r="J20" s="247"/>
      <c r="K20" s="239"/>
      <c r="L20" s="248"/>
      <c r="M20" s="97"/>
      <c r="N20" s="247"/>
      <c r="O20" s="239"/>
      <c r="P20" s="248"/>
      <c r="Q20" s="97"/>
      <c r="R20" s="247"/>
      <c r="S20" s="239"/>
      <c r="T20" s="248"/>
      <c r="U20" s="97"/>
      <c r="V20" s="246"/>
      <c r="W20" s="97"/>
      <c r="X20" s="247"/>
      <c r="Y20" s="239"/>
      <c r="Z20" s="248"/>
      <c r="AA20" s="97"/>
      <c r="AB20" s="247"/>
      <c r="AC20" s="239"/>
      <c r="AD20" s="248"/>
      <c r="AE20" s="97"/>
      <c r="AF20" s="247"/>
      <c r="AG20" s="239"/>
      <c r="AH20" s="248"/>
      <c r="AI20" s="97"/>
      <c r="AJ20" s="246"/>
      <c r="AK20" s="97"/>
      <c r="AL20" s="247"/>
      <c r="AM20" s="239"/>
      <c r="AN20" s="248"/>
      <c r="AO20" s="97"/>
      <c r="AP20" s="247"/>
      <c r="AQ20" s="239"/>
      <c r="AR20" s="248"/>
      <c r="AS20" s="97"/>
      <c r="AT20" s="247"/>
      <c r="AU20" s="239"/>
      <c r="AV20" s="248"/>
      <c r="AW20" s="97"/>
      <c r="AX20" s="246"/>
      <c r="AY20" s="97"/>
      <c r="AZ20" s="247"/>
      <c r="BA20" s="239"/>
      <c r="BB20" s="248"/>
      <c r="BC20" s="97"/>
      <c r="BD20" s="247"/>
      <c r="BE20" s="239"/>
      <c r="BF20" s="248"/>
    </row>
    <row r="21" spans="2:58">
      <c r="B21" s="105"/>
      <c r="C21" s="228"/>
      <c r="D21" s="228" t="s">
        <v>94</v>
      </c>
      <c r="E21" s="106"/>
      <c r="F21" s="238">
        <v>254879</v>
      </c>
      <c r="G21" s="97"/>
      <c r="H21" s="235">
        <v>62063</v>
      </c>
      <c r="I21" s="97"/>
      <c r="J21" s="237">
        <v>63531</v>
      </c>
      <c r="K21" s="236"/>
      <c r="L21" s="238">
        <v>125594</v>
      </c>
      <c r="M21" s="97"/>
      <c r="N21" s="237">
        <v>66535</v>
      </c>
      <c r="O21" s="236"/>
      <c r="P21" s="238">
        <v>192131</v>
      </c>
      <c r="Q21" s="97"/>
      <c r="R21" s="237">
        <v>66363</v>
      </c>
      <c r="S21" s="236"/>
      <c r="T21" s="238">
        <v>258491</v>
      </c>
      <c r="U21" s="97"/>
      <c r="V21" s="235">
        <v>63110</v>
      </c>
      <c r="W21" s="97"/>
      <c r="X21" s="237">
        <v>65397</v>
      </c>
      <c r="Y21" s="236"/>
      <c r="Z21" s="238">
        <v>128507</v>
      </c>
      <c r="AA21" s="97"/>
      <c r="AB21" s="237">
        <v>65558</v>
      </c>
      <c r="AC21" s="236"/>
      <c r="AD21" s="238">
        <v>194065</v>
      </c>
      <c r="AE21" s="97"/>
      <c r="AF21" s="237">
        <v>63568</v>
      </c>
      <c r="AG21" s="236"/>
      <c r="AH21" s="238">
        <v>257633</v>
      </c>
      <c r="AI21" s="97"/>
      <c r="AJ21" s="235">
        <v>64729</v>
      </c>
      <c r="AK21" s="97"/>
      <c r="AL21" s="237">
        <v>66668</v>
      </c>
      <c r="AM21" s="236"/>
      <c r="AN21" s="238">
        <v>131397</v>
      </c>
      <c r="AO21" s="97"/>
      <c r="AP21" s="237">
        <v>68365</v>
      </c>
      <c r="AQ21" s="236"/>
      <c r="AR21" s="238">
        <v>199762</v>
      </c>
      <c r="AS21" s="97"/>
      <c r="AT21" s="237">
        <v>66687</v>
      </c>
      <c r="AU21" s="236"/>
      <c r="AV21" s="238">
        <v>266449</v>
      </c>
      <c r="AW21" s="97"/>
      <c r="AX21" s="235">
        <v>62989</v>
      </c>
      <c r="AY21" s="97"/>
      <c r="AZ21" s="237">
        <v>64344</v>
      </c>
      <c r="BA21" s="236"/>
      <c r="BB21" s="238">
        <v>127333</v>
      </c>
      <c r="BC21" s="97"/>
      <c r="BD21" s="237">
        <v>67767</v>
      </c>
      <c r="BE21" s="236"/>
      <c r="BF21" s="238">
        <v>195100</v>
      </c>
    </row>
    <row r="22" spans="2:58">
      <c r="B22" s="105"/>
      <c r="C22" s="228"/>
      <c r="D22" s="228" t="s">
        <v>74</v>
      </c>
      <c r="E22" s="106"/>
      <c r="F22" s="238">
        <v>2212</v>
      </c>
      <c r="G22" s="97"/>
      <c r="H22" s="235">
        <v>521</v>
      </c>
      <c r="I22" s="97"/>
      <c r="J22" s="237">
        <v>466</v>
      </c>
      <c r="K22" s="236"/>
      <c r="L22" s="238">
        <v>986</v>
      </c>
      <c r="M22" s="97"/>
      <c r="N22" s="237">
        <v>645</v>
      </c>
      <c r="O22" s="236"/>
      <c r="P22" s="238">
        <v>1628</v>
      </c>
      <c r="Q22" s="97"/>
      <c r="R22" s="237">
        <v>598</v>
      </c>
      <c r="S22" s="236"/>
      <c r="T22" s="238">
        <v>2232</v>
      </c>
      <c r="U22" s="97"/>
      <c r="V22" s="235">
        <v>550</v>
      </c>
      <c r="W22" s="97"/>
      <c r="X22" s="237">
        <v>569</v>
      </c>
      <c r="Y22" s="236"/>
      <c r="Z22" s="238">
        <v>1119</v>
      </c>
      <c r="AA22" s="97"/>
      <c r="AB22" s="237">
        <v>406</v>
      </c>
      <c r="AC22" s="236"/>
      <c r="AD22" s="238">
        <v>1525</v>
      </c>
      <c r="AE22" s="97"/>
      <c r="AF22" s="237">
        <v>355</v>
      </c>
      <c r="AG22" s="236"/>
      <c r="AH22" s="238">
        <v>1881</v>
      </c>
      <c r="AI22" s="97"/>
      <c r="AJ22" s="235">
        <v>422</v>
      </c>
      <c r="AK22" s="97"/>
      <c r="AL22" s="237">
        <v>337</v>
      </c>
      <c r="AM22" s="236"/>
      <c r="AN22" s="238">
        <v>760</v>
      </c>
      <c r="AO22" s="97"/>
      <c r="AP22" s="237">
        <v>263</v>
      </c>
      <c r="AQ22" s="236"/>
      <c r="AR22" s="238">
        <v>1023</v>
      </c>
      <c r="AS22" s="97"/>
      <c r="AT22" s="237">
        <v>284</v>
      </c>
      <c r="AU22" s="236"/>
      <c r="AV22" s="238">
        <v>1306</v>
      </c>
      <c r="AW22" s="97"/>
      <c r="AX22" s="235">
        <v>323</v>
      </c>
      <c r="AY22" s="97"/>
      <c r="AZ22" s="237">
        <v>188</v>
      </c>
      <c r="BA22" s="236"/>
      <c r="BB22" s="238">
        <v>511</v>
      </c>
      <c r="BC22" s="97"/>
      <c r="BD22" s="237">
        <v>244</v>
      </c>
      <c r="BE22" s="236"/>
      <c r="BF22" s="238">
        <v>755</v>
      </c>
    </row>
    <row r="23" spans="2:58">
      <c r="B23" s="105"/>
      <c r="C23" s="228"/>
      <c r="D23" s="228" t="s">
        <v>95</v>
      </c>
      <c r="E23" s="106"/>
      <c r="F23" s="238">
        <v>197663</v>
      </c>
      <c r="G23" s="97"/>
      <c r="H23" s="235">
        <v>48980</v>
      </c>
      <c r="I23" s="97"/>
      <c r="J23" s="237">
        <v>49925</v>
      </c>
      <c r="K23" s="236"/>
      <c r="L23" s="238">
        <v>98905</v>
      </c>
      <c r="M23" s="97"/>
      <c r="N23" s="237">
        <v>50900</v>
      </c>
      <c r="O23" s="236"/>
      <c r="P23" s="238">
        <v>149800</v>
      </c>
      <c r="Q23" s="97"/>
      <c r="R23" s="237">
        <v>49698</v>
      </c>
      <c r="S23" s="236"/>
      <c r="T23" s="238">
        <v>199501</v>
      </c>
      <c r="U23" s="97"/>
      <c r="V23" s="235">
        <v>48274</v>
      </c>
      <c r="W23" s="97"/>
      <c r="X23" s="237">
        <v>49202</v>
      </c>
      <c r="Y23" s="236"/>
      <c r="Z23" s="238">
        <v>97475</v>
      </c>
      <c r="AA23" s="97"/>
      <c r="AB23" s="237">
        <v>49460</v>
      </c>
      <c r="AC23" s="236"/>
      <c r="AD23" s="238">
        <v>146934</v>
      </c>
      <c r="AE23" s="97"/>
      <c r="AF23" s="237">
        <v>47362</v>
      </c>
      <c r="AG23" s="236"/>
      <c r="AH23" s="238">
        <v>194296</v>
      </c>
      <c r="AI23" s="97"/>
      <c r="AJ23" s="235">
        <v>47000</v>
      </c>
      <c r="AK23" s="97"/>
      <c r="AL23" s="237">
        <v>49616</v>
      </c>
      <c r="AM23" s="236"/>
      <c r="AN23" s="238">
        <v>96617</v>
      </c>
      <c r="AO23" s="97"/>
      <c r="AP23" s="237">
        <v>49063</v>
      </c>
      <c r="AQ23" s="236"/>
      <c r="AR23" s="238">
        <v>145679</v>
      </c>
      <c r="AS23" s="97"/>
      <c r="AT23" s="237">
        <v>51418</v>
      </c>
      <c r="AU23" s="236"/>
      <c r="AV23" s="238">
        <v>197097</v>
      </c>
      <c r="AW23" s="97"/>
      <c r="AX23" s="235">
        <v>46890</v>
      </c>
      <c r="AY23" s="97"/>
      <c r="AZ23" s="237">
        <v>49068</v>
      </c>
      <c r="BA23" s="236"/>
      <c r="BB23" s="238">
        <v>95958</v>
      </c>
      <c r="BC23" s="97"/>
      <c r="BD23" s="237">
        <v>52418</v>
      </c>
      <c r="BE23" s="236"/>
      <c r="BF23" s="238">
        <v>148375</v>
      </c>
    </row>
    <row r="24" spans="2:58">
      <c r="B24" s="105"/>
      <c r="C24" s="228"/>
      <c r="D24" s="228" t="s">
        <v>31</v>
      </c>
      <c r="E24" s="106"/>
      <c r="F24" s="238">
        <v>165841</v>
      </c>
      <c r="G24" s="97"/>
      <c r="H24" s="235">
        <v>41561</v>
      </c>
      <c r="I24" s="97"/>
      <c r="J24" s="237">
        <v>36926</v>
      </c>
      <c r="K24" s="236"/>
      <c r="L24" s="238">
        <v>78487</v>
      </c>
      <c r="M24" s="97"/>
      <c r="N24" s="237">
        <v>40631</v>
      </c>
      <c r="O24" s="236"/>
      <c r="P24" s="238">
        <v>119120</v>
      </c>
      <c r="Q24" s="97"/>
      <c r="R24" s="237">
        <v>39908</v>
      </c>
      <c r="S24" s="236"/>
      <c r="T24" s="238">
        <v>159027</v>
      </c>
      <c r="U24" s="97"/>
      <c r="V24" s="235">
        <v>39001</v>
      </c>
      <c r="W24" s="97"/>
      <c r="X24" s="237">
        <v>37195</v>
      </c>
      <c r="Y24" s="236"/>
      <c r="Z24" s="238">
        <v>76195</v>
      </c>
      <c r="AA24" s="97"/>
      <c r="AB24" s="237">
        <v>37504</v>
      </c>
      <c r="AC24" s="236"/>
      <c r="AD24" s="238">
        <v>113699</v>
      </c>
      <c r="AE24" s="97"/>
      <c r="AF24" s="237">
        <v>36928</v>
      </c>
      <c r="AG24" s="236"/>
      <c r="AH24" s="238">
        <v>150627</v>
      </c>
      <c r="AI24" s="97"/>
      <c r="AJ24" s="235">
        <v>36888</v>
      </c>
      <c r="AK24" s="97"/>
      <c r="AL24" s="237">
        <v>35536</v>
      </c>
      <c r="AM24" s="236"/>
      <c r="AN24" s="238">
        <v>72424</v>
      </c>
      <c r="AO24" s="97"/>
      <c r="AP24" s="237">
        <v>35191</v>
      </c>
      <c r="AQ24" s="236"/>
      <c r="AR24" s="238">
        <v>107616</v>
      </c>
      <c r="AS24" s="97"/>
      <c r="AT24" s="237">
        <v>34815</v>
      </c>
      <c r="AU24" s="236"/>
      <c r="AV24" s="238">
        <v>142431</v>
      </c>
      <c r="AW24" s="97"/>
      <c r="AX24" s="235">
        <v>33523</v>
      </c>
      <c r="AY24" s="97"/>
      <c r="AZ24" s="237">
        <v>32651</v>
      </c>
      <c r="BA24" s="236"/>
      <c r="BB24" s="238">
        <v>66173</v>
      </c>
      <c r="BC24" s="97"/>
      <c r="BD24" s="237">
        <v>32538</v>
      </c>
      <c r="BE24" s="236"/>
      <c r="BF24" s="238">
        <v>98711</v>
      </c>
    </row>
    <row r="25" spans="2:58">
      <c r="B25" s="105"/>
      <c r="C25" s="225"/>
      <c r="D25" s="225" t="s">
        <v>33</v>
      </c>
      <c r="E25" s="106"/>
      <c r="F25" s="238">
        <v>5094</v>
      </c>
      <c r="G25" s="97"/>
      <c r="H25" s="235">
        <v>410</v>
      </c>
      <c r="I25" s="97"/>
      <c r="J25" s="237">
        <v>576</v>
      </c>
      <c r="K25" s="236"/>
      <c r="L25" s="238">
        <v>987</v>
      </c>
      <c r="M25" s="97"/>
      <c r="N25" s="237">
        <v>642</v>
      </c>
      <c r="O25" s="236"/>
      <c r="P25" s="238">
        <v>1631</v>
      </c>
      <c r="Q25" s="97"/>
      <c r="R25" s="237">
        <v>282</v>
      </c>
      <c r="S25" s="236"/>
      <c r="T25" s="238">
        <v>1912</v>
      </c>
      <c r="U25" s="97"/>
      <c r="V25" s="235">
        <v>284</v>
      </c>
      <c r="W25" s="97"/>
      <c r="X25" s="237">
        <v>313</v>
      </c>
      <c r="Y25" s="236"/>
      <c r="Z25" s="238">
        <v>597</v>
      </c>
      <c r="AA25" s="97"/>
      <c r="AB25" s="237">
        <v>153</v>
      </c>
      <c r="AC25" s="236"/>
      <c r="AD25" s="238">
        <v>750</v>
      </c>
      <c r="AE25" s="97"/>
      <c r="AF25" s="237">
        <v>496</v>
      </c>
      <c r="AG25" s="236"/>
      <c r="AH25" s="238">
        <v>1246</v>
      </c>
      <c r="AI25" s="97"/>
      <c r="AJ25" s="235">
        <v>95</v>
      </c>
      <c r="AK25" s="97"/>
      <c r="AL25" s="237">
        <v>606</v>
      </c>
      <c r="AM25" s="236"/>
      <c r="AN25" s="238">
        <v>700</v>
      </c>
      <c r="AO25" s="97"/>
      <c r="AP25" s="237">
        <v>-3979</v>
      </c>
      <c r="AQ25" s="236"/>
      <c r="AR25" s="238">
        <v>-3278</v>
      </c>
      <c r="AS25" s="97"/>
      <c r="AT25" s="237">
        <v>-53</v>
      </c>
      <c r="AU25" s="236"/>
      <c r="AV25" s="238">
        <v>-3331</v>
      </c>
      <c r="AW25" s="97"/>
      <c r="AX25" s="235">
        <v>-7449</v>
      </c>
      <c r="AY25" s="97"/>
      <c r="AZ25" s="237">
        <v>-838</v>
      </c>
      <c r="BA25" s="236"/>
      <c r="BB25" s="238">
        <v>-8286</v>
      </c>
      <c r="BC25" s="97"/>
      <c r="BD25" s="237">
        <v>141</v>
      </c>
      <c r="BE25" s="236"/>
      <c r="BF25" s="238">
        <v>-8145</v>
      </c>
    </row>
    <row r="26" spans="2:58">
      <c r="B26" s="105"/>
      <c r="C26" s="225"/>
      <c r="D26" s="225" t="s">
        <v>34</v>
      </c>
      <c r="E26" s="106"/>
      <c r="F26" s="238">
        <v>-9530</v>
      </c>
      <c r="G26" s="97"/>
      <c r="H26" s="235">
        <v>0</v>
      </c>
      <c r="I26" s="97"/>
      <c r="J26" s="237">
        <v>1</v>
      </c>
      <c r="K26" s="236"/>
      <c r="L26" s="238">
        <v>1</v>
      </c>
      <c r="M26" s="97"/>
      <c r="N26" s="237">
        <v>0</v>
      </c>
      <c r="O26" s="236"/>
      <c r="P26" s="238">
        <v>1</v>
      </c>
      <c r="Q26" s="97"/>
      <c r="R26" s="237">
        <v>0</v>
      </c>
      <c r="S26" s="236"/>
      <c r="T26" s="238">
        <v>1</v>
      </c>
      <c r="U26" s="97"/>
      <c r="V26" s="235">
        <v>0</v>
      </c>
      <c r="W26" s="97"/>
      <c r="X26" s="237">
        <v>0</v>
      </c>
      <c r="Y26" s="236"/>
      <c r="Z26" s="238">
        <v>0</v>
      </c>
      <c r="AA26" s="97"/>
      <c r="AB26" s="237">
        <v>0</v>
      </c>
      <c r="AC26" s="236"/>
      <c r="AD26" s="238">
        <v>0</v>
      </c>
      <c r="AE26" s="97"/>
      <c r="AF26" s="237">
        <v>0</v>
      </c>
      <c r="AG26" s="236"/>
      <c r="AH26" s="238">
        <v>0</v>
      </c>
      <c r="AI26" s="97"/>
      <c r="AJ26" s="235">
        <v>0</v>
      </c>
      <c r="AK26" s="97"/>
      <c r="AL26" s="237">
        <v>0</v>
      </c>
      <c r="AM26" s="236"/>
      <c r="AN26" s="238">
        <v>0</v>
      </c>
      <c r="AO26" s="97"/>
      <c r="AP26" s="237">
        <v>0</v>
      </c>
      <c r="AQ26" s="236"/>
      <c r="AR26" s="238">
        <v>0</v>
      </c>
      <c r="AS26" s="97"/>
      <c r="AT26" s="237">
        <v>0</v>
      </c>
      <c r="AU26" s="236"/>
      <c r="AV26" s="238">
        <v>0</v>
      </c>
      <c r="AW26" s="97"/>
      <c r="AX26" s="235">
        <v>0</v>
      </c>
      <c r="AY26" s="97"/>
      <c r="AZ26" s="237">
        <v>0</v>
      </c>
      <c r="BA26" s="236"/>
      <c r="BB26" s="238">
        <v>0</v>
      </c>
      <c r="BC26" s="97"/>
      <c r="BD26" s="237">
        <v>0</v>
      </c>
      <c r="BE26" s="236"/>
      <c r="BF26" s="238">
        <v>0</v>
      </c>
    </row>
    <row r="27" spans="2:58">
      <c r="B27" s="105"/>
      <c r="C27" s="225"/>
      <c r="D27" s="225" t="s">
        <v>35</v>
      </c>
      <c r="E27" s="106"/>
      <c r="F27" s="242"/>
      <c r="G27" s="97"/>
      <c r="H27" s="235"/>
      <c r="I27" s="97"/>
      <c r="J27" s="237"/>
      <c r="K27" s="236"/>
      <c r="L27" s="242"/>
      <c r="M27" s="97"/>
      <c r="N27" s="237"/>
      <c r="O27" s="236"/>
      <c r="P27" s="242"/>
      <c r="Q27" s="97"/>
      <c r="R27" s="237">
        <v>-553</v>
      </c>
      <c r="S27" s="236"/>
      <c r="T27" s="242">
        <v>-553</v>
      </c>
      <c r="U27" s="97"/>
      <c r="V27" s="235"/>
      <c r="W27" s="97"/>
      <c r="X27" s="237"/>
      <c r="Y27" s="236"/>
      <c r="Z27" s="242"/>
      <c r="AA27" s="97"/>
      <c r="AB27" s="237"/>
      <c r="AC27" s="236"/>
      <c r="AD27" s="242"/>
      <c r="AE27" s="97"/>
      <c r="AF27" s="237">
        <v>0</v>
      </c>
      <c r="AG27" s="236"/>
      <c r="AH27" s="242">
        <v>0</v>
      </c>
      <c r="AI27" s="97"/>
      <c r="AJ27" s="235">
        <v>0</v>
      </c>
      <c r="AK27" s="97"/>
      <c r="AL27" s="237">
        <v>0</v>
      </c>
      <c r="AM27" s="236"/>
      <c r="AN27" s="242">
        <v>0</v>
      </c>
      <c r="AO27" s="97"/>
      <c r="AP27" s="237">
        <v>0</v>
      </c>
      <c r="AQ27" s="236"/>
      <c r="AR27" s="242">
        <v>0</v>
      </c>
      <c r="AS27" s="97"/>
      <c r="AT27" s="237">
        <v>0</v>
      </c>
      <c r="AU27" s="236"/>
      <c r="AV27" s="242">
        <v>0</v>
      </c>
      <c r="AW27" s="97"/>
      <c r="AX27" s="235">
        <v>0</v>
      </c>
      <c r="AY27" s="97"/>
      <c r="AZ27" s="237">
        <v>0</v>
      </c>
      <c r="BA27" s="236"/>
      <c r="BB27" s="242">
        <v>0</v>
      </c>
      <c r="BC27" s="97"/>
      <c r="BD27" s="237">
        <v>0</v>
      </c>
      <c r="BE27" s="236"/>
      <c r="BF27" s="242">
        <v>0</v>
      </c>
    </row>
    <row r="28" spans="2:58">
      <c r="B28" s="105"/>
      <c r="C28" s="106"/>
      <c r="D28" s="100" t="s">
        <v>96</v>
      </c>
      <c r="E28" s="106"/>
      <c r="F28" s="245">
        <f>SUM(F21:F27)</f>
        <v>616159</v>
      </c>
      <c r="G28" s="236"/>
      <c r="H28" s="243">
        <f>SUM(H21:H27)</f>
        <v>153535</v>
      </c>
      <c r="I28" s="97"/>
      <c r="J28" s="244">
        <f>SUM(J21:J27)</f>
        <v>151425</v>
      </c>
      <c r="K28" s="236"/>
      <c r="L28" s="245">
        <f>SUM(L21:L27)</f>
        <v>304960</v>
      </c>
      <c r="M28" s="97"/>
      <c r="N28" s="244">
        <f>SUM(N21:N27)</f>
        <v>159353</v>
      </c>
      <c r="O28" s="236"/>
      <c r="P28" s="245">
        <f>SUM(P21:P27)</f>
        <v>464311</v>
      </c>
      <c r="Q28" s="97"/>
      <c r="R28" s="244">
        <f>SUM(R21:R27)</f>
        <v>156296</v>
      </c>
      <c r="S28" s="236"/>
      <c r="T28" s="245">
        <f>SUM(T21:T27)</f>
        <v>620611</v>
      </c>
      <c r="U28" s="236"/>
      <c r="V28" s="243">
        <f>SUM(V21:V27)</f>
        <v>151219</v>
      </c>
      <c r="W28" s="97"/>
      <c r="X28" s="244">
        <f>SUM(X21:X27)</f>
        <v>152676</v>
      </c>
      <c r="Y28" s="236"/>
      <c r="Z28" s="245">
        <f>SUM(Z21:Z27)</f>
        <v>303893</v>
      </c>
      <c r="AA28" s="97"/>
      <c r="AB28" s="244">
        <f>SUM(AB21:AB27)</f>
        <v>153081</v>
      </c>
      <c r="AC28" s="236"/>
      <c r="AD28" s="245">
        <f>SUM(AD21:AD27)</f>
        <v>456973</v>
      </c>
      <c r="AE28" s="97"/>
      <c r="AF28" s="244">
        <f>SUM(AF21:AF27)</f>
        <v>148709</v>
      </c>
      <c r="AG28" s="236"/>
      <c r="AH28" s="245">
        <f>SUM(AH21:AH27)</f>
        <v>605683</v>
      </c>
      <c r="AI28" s="236"/>
      <c r="AJ28" s="243">
        <f>SUM(AJ21:AJ27)</f>
        <v>149134</v>
      </c>
      <c r="AK28" s="97"/>
      <c r="AL28" s="244">
        <f>SUM(AL21:AL27)</f>
        <v>152763</v>
      </c>
      <c r="AM28" s="236"/>
      <c r="AN28" s="245">
        <f>SUM(AN21:AN27)</f>
        <v>301898</v>
      </c>
      <c r="AO28" s="97"/>
      <c r="AP28" s="244">
        <f>SUM(AP21:AP27)</f>
        <v>148903</v>
      </c>
      <c r="AQ28" s="236"/>
      <c r="AR28" s="245">
        <f>SUM(AR21:AR27)</f>
        <v>450802</v>
      </c>
      <c r="AS28" s="97"/>
      <c r="AT28" s="244">
        <f>SUM(AT21:AT27)-1</f>
        <v>153150</v>
      </c>
      <c r="AU28" s="236"/>
      <c r="AV28" s="245">
        <f>SUM(AV21:AV27)</f>
        <v>603952</v>
      </c>
      <c r="AW28" s="236"/>
      <c r="AX28" s="243">
        <f>SUM(AX21:AX27)</f>
        <v>136276</v>
      </c>
      <c r="AY28" s="97"/>
      <c r="AZ28" s="244">
        <f>SUM(AZ21:AZ27)</f>
        <v>145413</v>
      </c>
      <c r="BA28" s="236"/>
      <c r="BB28" s="245">
        <f>SUM(BB21:BB27)</f>
        <v>281689</v>
      </c>
      <c r="BC28" s="97"/>
      <c r="BD28" s="244">
        <f>SUM(BD21:BD27)</f>
        <v>153108</v>
      </c>
      <c r="BE28" s="236"/>
      <c r="BF28" s="245">
        <f>SUM(BF21:BF27)</f>
        <v>434796</v>
      </c>
    </row>
    <row r="29" spans="2:58">
      <c r="B29" s="105"/>
      <c r="C29" s="106"/>
      <c r="D29" s="106"/>
      <c r="E29" s="106"/>
      <c r="F29" s="248"/>
      <c r="G29" s="97"/>
      <c r="H29" s="246"/>
      <c r="I29" s="97"/>
      <c r="J29" s="247"/>
      <c r="K29" s="239"/>
      <c r="L29" s="248"/>
      <c r="M29" s="97"/>
      <c r="N29" s="247"/>
      <c r="O29" s="239"/>
      <c r="P29" s="248"/>
      <c r="Q29" s="97"/>
      <c r="R29" s="247"/>
      <c r="S29" s="239"/>
      <c r="T29" s="248"/>
      <c r="U29" s="97"/>
      <c r="V29" s="246"/>
      <c r="W29" s="97"/>
      <c r="X29" s="247"/>
      <c r="Y29" s="239"/>
      <c r="Z29" s="248"/>
      <c r="AA29" s="97"/>
      <c r="AB29" s="247"/>
      <c r="AC29" s="239"/>
      <c r="AD29" s="248"/>
      <c r="AE29" s="97"/>
      <c r="AF29" s="247"/>
      <c r="AG29" s="239"/>
      <c r="AH29" s="248"/>
      <c r="AI29" s="97"/>
      <c r="AJ29" s="246"/>
      <c r="AK29" s="97"/>
      <c r="AL29" s="247"/>
      <c r="AM29" s="239"/>
      <c r="AN29" s="248"/>
      <c r="AO29" s="97"/>
      <c r="AP29" s="247"/>
      <c r="AQ29" s="239"/>
      <c r="AR29" s="248"/>
      <c r="AS29" s="97"/>
      <c r="AT29" s="247"/>
      <c r="AU29" s="239"/>
      <c r="AV29" s="248"/>
      <c r="AW29" s="97"/>
      <c r="AX29" s="246"/>
      <c r="AY29" s="97"/>
      <c r="AZ29" s="247"/>
      <c r="BA29" s="239"/>
      <c r="BB29" s="248"/>
      <c r="BC29" s="97"/>
      <c r="BD29" s="247"/>
      <c r="BE29" s="239"/>
      <c r="BF29" s="248"/>
    </row>
    <row r="30" spans="2:58">
      <c r="B30" s="105"/>
      <c r="C30" s="153" t="s">
        <v>97</v>
      </c>
      <c r="D30" s="106"/>
      <c r="E30" s="106"/>
      <c r="F30" s="238">
        <f>F18-F28</f>
        <v>84744</v>
      </c>
      <c r="G30" s="236"/>
      <c r="H30" s="235">
        <f>H18-H28</f>
        <v>19643</v>
      </c>
      <c r="I30" s="236"/>
      <c r="J30" s="237">
        <f>J18-J28</f>
        <v>23883</v>
      </c>
      <c r="K30" s="236"/>
      <c r="L30" s="238">
        <f>L18-L28</f>
        <v>43526</v>
      </c>
      <c r="M30" s="236"/>
      <c r="N30" s="237">
        <f>N18-N28</f>
        <v>15442</v>
      </c>
      <c r="O30" s="236"/>
      <c r="P30" s="238">
        <f>P18-P28</f>
        <v>58968</v>
      </c>
      <c r="Q30" s="236"/>
      <c r="R30" s="237">
        <f>R18-R28</f>
        <v>18080</v>
      </c>
      <c r="S30" s="236"/>
      <c r="T30" s="238">
        <f>T18-T28</f>
        <v>77047</v>
      </c>
      <c r="U30" s="236"/>
      <c r="V30" s="235">
        <f>V18-V28</f>
        <v>27982</v>
      </c>
      <c r="W30" s="236"/>
      <c r="X30" s="237">
        <f>X18-X28</f>
        <v>27940</v>
      </c>
      <c r="Y30" s="236"/>
      <c r="Z30" s="238">
        <f>Z18-Z28</f>
        <v>55923</v>
      </c>
      <c r="AA30" s="236"/>
      <c r="AB30" s="237">
        <f>AB18-AB28</f>
        <v>25458</v>
      </c>
      <c r="AC30" s="236"/>
      <c r="AD30" s="238">
        <f>AD18-AD28-1</f>
        <v>81381</v>
      </c>
      <c r="AE30" s="236"/>
      <c r="AF30" s="237">
        <f>AF18-AF28</f>
        <v>27014</v>
      </c>
      <c r="AG30" s="236"/>
      <c r="AH30" s="238">
        <f>AH18-AH28+1</f>
        <v>108396</v>
      </c>
      <c r="AI30" s="236"/>
      <c r="AJ30" s="235">
        <f>AJ18-AJ28-1</f>
        <v>26278</v>
      </c>
      <c r="AK30" s="236"/>
      <c r="AL30" s="237">
        <f>AL18-AL28</f>
        <v>20874</v>
      </c>
      <c r="AM30" s="236"/>
      <c r="AN30" s="238">
        <f>AN18-AN28</f>
        <v>47152</v>
      </c>
      <c r="AO30" s="236"/>
      <c r="AP30" s="237">
        <f>AP18-AP28-1</f>
        <v>27657</v>
      </c>
      <c r="AQ30" s="236"/>
      <c r="AR30" s="238">
        <f>AR18-AR28+1</f>
        <v>74810</v>
      </c>
      <c r="AS30" s="236"/>
      <c r="AT30" s="237">
        <f>AT18-AT28</f>
        <v>19809</v>
      </c>
      <c r="AU30" s="236"/>
      <c r="AV30" s="238">
        <f>AV18-AV28</f>
        <v>94618</v>
      </c>
      <c r="AW30" s="236"/>
      <c r="AX30" s="235">
        <f>AX18-AX28</f>
        <v>34471</v>
      </c>
      <c r="AY30" s="236"/>
      <c r="AZ30" s="237">
        <f>AZ18-AZ28</f>
        <v>26844</v>
      </c>
      <c r="BA30" s="236"/>
      <c r="BB30" s="238">
        <f>BB18-BB28+1</f>
        <v>61315</v>
      </c>
      <c r="BC30" s="236"/>
      <c r="BD30" s="237">
        <f>BD18-BD28</f>
        <v>16337</v>
      </c>
      <c r="BE30" s="236"/>
      <c r="BF30" s="238">
        <f>BF18-BF28</f>
        <v>77652</v>
      </c>
    </row>
    <row r="31" spans="2:58">
      <c r="B31" s="105"/>
      <c r="C31" s="106"/>
      <c r="D31" s="106"/>
      <c r="E31" s="106"/>
      <c r="F31" s="238"/>
      <c r="G31" s="97"/>
      <c r="H31" s="235"/>
      <c r="I31" s="97"/>
      <c r="J31" s="247"/>
      <c r="K31" s="239"/>
      <c r="L31" s="238"/>
      <c r="M31" s="97"/>
      <c r="N31" s="247"/>
      <c r="O31" s="239"/>
      <c r="P31" s="238"/>
      <c r="Q31" s="97"/>
      <c r="R31" s="247"/>
      <c r="S31" s="239"/>
      <c r="T31" s="238"/>
      <c r="U31" s="97"/>
      <c r="V31" s="235"/>
      <c r="W31" s="97"/>
      <c r="X31" s="247"/>
      <c r="Y31" s="239"/>
      <c r="Z31" s="238"/>
      <c r="AA31" s="97"/>
      <c r="AB31" s="247"/>
      <c r="AC31" s="239"/>
      <c r="AD31" s="238"/>
      <c r="AE31" s="97"/>
      <c r="AF31" s="247"/>
      <c r="AG31" s="239"/>
      <c r="AH31" s="238"/>
      <c r="AI31" s="97"/>
      <c r="AJ31" s="235"/>
      <c r="AK31" s="97"/>
      <c r="AL31" s="247"/>
      <c r="AM31" s="239"/>
      <c r="AN31" s="238"/>
      <c r="AO31" s="97"/>
      <c r="AP31" s="247"/>
      <c r="AQ31" s="239"/>
      <c r="AR31" s="238"/>
      <c r="AS31" s="97"/>
      <c r="AT31" s="247"/>
      <c r="AU31" s="239"/>
      <c r="AV31" s="238"/>
      <c r="AW31" s="97"/>
      <c r="AX31" s="235"/>
      <c r="AY31" s="97"/>
      <c r="AZ31" s="247"/>
      <c r="BA31" s="239"/>
      <c r="BB31" s="238"/>
      <c r="BC31" s="97"/>
      <c r="BD31" s="247"/>
      <c r="BE31" s="239"/>
      <c r="BF31" s="238"/>
    </row>
    <row r="32" spans="2:58">
      <c r="B32" s="250" t="s">
        <v>98</v>
      </c>
      <c r="C32" s="251"/>
      <c r="D32" s="225"/>
      <c r="E32" s="225"/>
      <c r="F32" s="113"/>
      <c r="G32" s="97"/>
      <c r="H32" s="110"/>
      <c r="I32" s="97"/>
      <c r="J32" s="252"/>
      <c r="K32" s="111"/>
      <c r="L32" s="113"/>
      <c r="M32" s="97"/>
      <c r="N32" s="252"/>
      <c r="O32" s="111"/>
      <c r="P32" s="113"/>
      <c r="Q32" s="97"/>
      <c r="R32" s="252"/>
      <c r="S32" s="111"/>
      <c r="T32" s="113"/>
      <c r="U32" s="97"/>
      <c r="V32" s="110"/>
      <c r="W32" s="97"/>
      <c r="X32" s="252"/>
      <c r="Y32" s="111"/>
      <c r="Z32" s="113"/>
      <c r="AA32" s="97"/>
      <c r="AB32" s="252"/>
      <c r="AC32" s="111"/>
      <c r="AD32" s="113"/>
      <c r="AE32" s="97"/>
      <c r="AF32" s="252"/>
      <c r="AG32" s="111"/>
      <c r="AH32" s="113"/>
      <c r="AI32" s="97"/>
      <c r="AJ32" s="110"/>
      <c r="AK32" s="97"/>
      <c r="AL32" s="252"/>
      <c r="AM32" s="111"/>
      <c r="AN32" s="113"/>
      <c r="AO32" s="97"/>
      <c r="AP32" s="252"/>
      <c r="AQ32" s="111"/>
      <c r="AR32" s="113"/>
      <c r="AS32" s="97"/>
      <c r="AT32" s="252"/>
      <c r="AU32" s="111"/>
      <c r="AV32" s="113"/>
      <c r="AW32" s="97"/>
      <c r="AX32" s="110"/>
      <c r="AY32" s="97"/>
      <c r="AZ32" s="252"/>
      <c r="BA32" s="111"/>
      <c r="BB32" s="113"/>
      <c r="BC32" s="97"/>
      <c r="BD32" s="252"/>
      <c r="BE32" s="111"/>
      <c r="BF32" s="113"/>
    </row>
    <row r="33" spans="2:58">
      <c r="B33" s="250"/>
      <c r="C33" s="224" t="s">
        <v>23</v>
      </c>
      <c r="D33" s="225"/>
      <c r="E33" s="225"/>
      <c r="F33" s="113"/>
      <c r="G33" s="97"/>
      <c r="H33" s="110"/>
      <c r="I33" s="97"/>
      <c r="J33" s="112"/>
      <c r="K33" s="111"/>
      <c r="L33" s="113"/>
      <c r="M33" s="97"/>
      <c r="N33" s="112"/>
      <c r="O33" s="111"/>
      <c r="P33" s="113"/>
      <c r="Q33" s="97"/>
      <c r="R33" s="112"/>
      <c r="S33" s="111"/>
      <c r="T33" s="113"/>
      <c r="U33" s="97"/>
      <c r="V33" s="110"/>
      <c r="W33" s="97"/>
      <c r="X33" s="112"/>
      <c r="Y33" s="111"/>
      <c r="Z33" s="113"/>
      <c r="AA33" s="97"/>
      <c r="AB33" s="112"/>
      <c r="AC33" s="111"/>
      <c r="AD33" s="113"/>
      <c r="AE33" s="97"/>
      <c r="AF33" s="112"/>
      <c r="AG33" s="111"/>
      <c r="AH33" s="113"/>
      <c r="AI33" s="97"/>
      <c r="AJ33" s="110"/>
      <c r="AK33" s="97"/>
      <c r="AL33" s="112"/>
      <c r="AM33" s="111"/>
      <c r="AN33" s="113"/>
      <c r="AO33" s="97"/>
      <c r="AP33" s="112"/>
      <c r="AQ33" s="111"/>
      <c r="AR33" s="113"/>
      <c r="AS33" s="97"/>
      <c r="AT33" s="112"/>
      <c r="AU33" s="111"/>
      <c r="AV33" s="113"/>
      <c r="AW33" s="97"/>
      <c r="AX33" s="110"/>
      <c r="AY33" s="97"/>
      <c r="AZ33" s="112"/>
      <c r="BA33" s="111"/>
      <c r="BB33" s="113"/>
      <c r="BC33" s="97"/>
      <c r="BD33" s="112"/>
      <c r="BE33" s="111"/>
      <c r="BF33" s="113"/>
    </row>
    <row r="34" spans="2:58">
      <c r="B34" s="250"/>
      <c r="C34" s="224"/>
      <c r="D34" s="225" t="s">
        <v>88</v>
      </c>
      <c r="E34" s="225"/>
      <c r="F34" s="113">
        <v>138377</v>
      </c>
      <c r="G34" s="97"/>
      <c r="H34" s="110">
        <v>35440</v>
      </c>
      <c r="I34" s="97"/>
      <c r="J34" s="237">
        <v>36121</v>
      </c>
      <c r="K34" s="111"/>
      <c r="L34" s="113">
        <v>71561</v>
      </c>
      <c r="M34" s="97"/>
      <c r="N34" s="237">
        <v>36920</v>
      </c>
      <c r="O34" s="111"/>
      <c r="P34" s="113">
        <v>108481</v>
      </c>
      <c r="Q34" s="97"/>
      <c r="R34" s="237">
        <v>38028</v>
      </c>
      <c r="S34" s="111"/>
      <c r="T34" s="113">
        <v>146509</v>
      </c>
      <c r="U34" s="97"/>
      <c r="V34" s="110">
        <v>40733</v>
      </c>
      <c r="W34" s="97"/>
      <c r="X34" s="237">
        <v>41448</v>
      </c>
      <c r="Y34" s="111"/>
      <c r="Z34" s="113">
        <v>82182</v>
      </c>
      <c r="AA34" s="97"/>
      <c r="AB34" s="237">
        <v>42667</v>
      </c>
      <c r="AC34" s="111"/>
      <c r="AD34" s="113">
        <v>124849</v>
      </c>
      <c r="AE34" s="97"/>
      <c r="AF34" s="237">
        <v>43966</v>
      </c>
      <c r="AG34" s="111"/>
      <c r="AH34" s="113">
        <v>168813</v>
      </c>
      <c r="AI34" s="97"/>
      <c r="AJ34" s="110">
        <f>45722+67</f>
        <v>45789</v>
      </c>
      <c r="AK34" s="97"/>
      <c r="AL34" s="237">
        <f>46934-319</f>
        <v>46615</v>
      </c>
      <c r="AM34" s="111"/>
      <c r="AN34" s="113">
        <f>92654-252</f>
        <v>92402</v>
      </c>
      <c r="AO34" s="97"/>
      <c r="AP34" s="237">
        <f>47526-184</f>
        <v>47342</v>
      </c>
      <c r="AQ34" s="111"/>
      <c r="AR34" s="113">
        <f>140181-436</f>
        <v>139745</v>
      </c>
      <c r="AS34" s="97"/>
      <c r="AT34" s="237">
        <f>48382-114</f>
        <v>48268</v>
      </c>
      <c r="AU34" s="111"/>
      <c r="AV34" s="113">
        <f>188563-550</f>
        <v>188013</v>
      </c>
      <c r="AW34" s="97"/>
      <c r="AX34" s="110">
        <f>49632-148</f>
        <v>49484</v>
      </c>
      <c r="AY34" s="97"/>
      <c r="AZ34" s="237">
        <f>50703-137</f>
        <v>50566</v>
      </c>
      <c r="BA34" s="111"/>
      <c r="BB34" s="113">
        <f>100334-285</f>
        <v>100049</v>
      </c>
      <c r="BC34" s="97"/>
      <c r="BD34" s="237">
        <v>51654</v>
      </c>
      <c r="BE34" s="111"/>
      <c r="BF34" s="113">
        <v>151703</v>
      </c>
    </row>
    <row r="35" spans="2:58">
      <c r="B35" s="250"/>
      <c r="C35" s="224"/>
      <c r="D35" s="225" t="s">
        <v>89</v>
      </c>
      <c r="E35" s="225"/>
      <c r="F35" s="164">
        <v>36152</v>
      </c>
      <c r="G35" s="97"/>
      <c r="H35" s="162">
        <v>9296</v>
      </c>
      <c r="I35" s="97"/>
      <c r="J35" s="241">
        <v>9321</v>
      </c>
      <c r="K35" s="111"/>
      <c r="L35" s="164">
        <v>18617</v>
      </c>
      <c r="M35" s="97"/>
      <c r="N35" s="241">
        <v>9252</v>
      </c>
      <c r="O35" s="111"/>
      <c r="P35" s="164">
        <v>27869</v>
      </c>
      <c r="Q35" s="97"/>
      <c r="R35" s="241">
        <v>10600</v>
      </c>
      <c r="S35" s="111"/>
      <c r="T35" s="164">
        <v>38469</v>
      </c>
      <c r="U35" s="97"/>
      <c r="V35" s="162">
        <v>8528</v>
      </c>
      <c r="W35" s="97"/>
      <c r="X35" s="241">
        <v>9384</v>
      </c>
      <c r="Y35" s="111"/>
      <c r="Z35" s="164">
        <v>17912</v>
      </c>
      <c r="AA35" s="97"/>
      <c r="AB35" s="241">
        <f>8408+678</f>
        <v>9086</v>
      </c>
      <c r="AC35" s="111"/>
      <c r="AD35" s="164">
        <v>26998</v>
      </c>
      <c r="AE35" s="97"/>
      <c r="AF35" s="241">
        <f>9002+740</f>
        <v>9742</v>
      </c>
      <c r="AG35" s="111"/>
      <c r="AH35" s="164">
        <f>34235+2507</f>
        <v>36742</v>
      </c>
      <c r="AI35" s="97"/>
      <c r="AJ35" s="162">
        <f>8890+714</f>
        <v>9604</v>
      </c>
      <c r="AK35" s="97"/>
      <c r="AL35" s="241">
        <f>9361+706</f>
        <v>10067</v>
      </c>
      <c r="AM35" s="111"/>
      <c r="AN35" s="164">
        <f>18252+1420</f>
        <v>19672</v>
      </c>
      <c r="AO35" s="97"/>
      <c r="AP35" s="241">
        <f>9584+721</f>
        <v>10305</v>
      </c>
      <c r="AQ35" s="111"/>
      <c r="AR35" s="164">
        <f>27836+2141</f>
        <v>29977</v>
      </c>
      <c r="AS35" s="97"/>
      <c r="AT35" s="241">
        <f>10587+969</f>
        <v>11556</v>
      </c>
      <c r="AU35" s="111"/>
      <c r="AV35" s="164">
        <f>38423+3110</f>
        <v>41533</v>
      </c>
      <c r="AW35" s="97"/>
      <c r="AX35" s="162">
        <f>9357+938</f>
        <v>10295</v>
      </c>
      <c r="AY35" s="97"/>
      <c r="AZ35" s="241">
        <f>10035+967</f>
        <v>11002</v>
      </c>
      <c r="BA35" s="111"/>
      <c r="BB35" s="164">
        <f>19393+1905</f>
        <v>21298</v>
      </c>
      <c r="BC35" s="97"/>
      <c r="BD35" s="241">
        <v>10414</v>
      </c>
      <c r="BE35" s="111"/>
      <c r="BF35" s="164">
        <v>31711</v>
      </c>
    </row>
    <row r="36" spans="2:58">
      <c r="B36" s="250"/>
      <c r="C36" s="224"/>
      <c r="D36" s="228" t="s">
        <v>91</v>
      </c>
      <c r="E36" s="225"/>
      <c r="F36" s="113">
        <f>F34+F35</f>
        <v>174529</v>
      </c>
      <c r="G36" s="97"/>
      <c r="H36" s="110">
        <f>H34+H35</f>
        <v>44736</v>
      </c>
      <c r="I36" s="111"/>
      <c r="J36" s="112">
        <f>J34+J35</f>
        <v>45442</v>
      </c>
      <c r="K36" s="111"/>
      <c r="L36" s="113">
        <f>L34+L35</f>
        <v>90178</v>
      </c>
      <c r="M36" s="111"/>
      <c r="N36" s="112">
        <f>N34+N35</f>
        <v>46172</v>
      </c>
      <c r="O36" s="111"/>
      <c r="P36" s="113">
        <f>P34+P35</f>
        <v>136350</v>
      </c>
      <c r="Q36" s="111"/>
      <c r="R36" s="112">
        <f>R34+R35</f>
        <v>48628</v>
      </c>
      <c r="S36" s="111"/>
      <c r="T36" s="113">
        <f>T34+T35</f>
        <v>184978</v>
      </c>
      <c r="U36" s="97"/>
      <c r="V36" s="110">
        <f>V34+V35</f>
        <v>49261</v>
      </c>
      <c r="W36" s="111"/>
      <c r="X36" s="112">
        <f>X34+X35</f>
        <v>50832</v>
      </c>
      <c r="Y36" s="111"/>
      <c r="Z36" s="113">
        <f>Z34+Z35</f>
        <v>100094</v>
      </c>
      <c r="AA36" s="111"/>
      <c r="AB36" s="112">
        <f>AB34+AB35</f>
        <v>51753</v>
      </c>
      <c r="AC36" s="111"/>
      <c r="AD36" s="113">
        <f>AD34+AD35</f>
        <v>151847</v>
      </c>
      <c r="AE36" s="111"/>
      <c r="AF36" s="112">
        <f>AF34+AF35</f>
        <v>53708</v>
      </c>
      <c r="AG36" s="111"/>
      <c r="AH36" s="113">
        <f>AH34+AH35</f>
        <v>205555</v>
      </c>
      <c r="AI36" s="97"/>
      <c r="AJ36" s="110">
        <f>AJ34+AJ35</f>
        <v>55393</v>
      </c>
      <c r="AK36" s="111"/>
      <c r="AL36" s="112">
        <f>AL34+AL35</f>
        <v>56682</v>
      </c>
      <c r="AM36" s="111"/>
      <c r="AN36" s="113">
        <f>AN34+AN35</f>
        <v>112074</v>
      </c>
      <c r="AO36" s="111"/>
      <c r="AP36" s="112">
        <f>AP34+AP35</f>
        <v>57647</v>
      </c>
      <c r="AQ36" s="111"/>
      <c r="AR36" s="113">
        <f>AR34+AR35</f>
        <v>169722</v>
      </c>
      <c r="AS36" s="111"/>
      <c r="AT36" s="112">
        <f>AT34+AT35</f>
        <v>59824</v>
      </c>
      <c r="AU36" s="111"/>
      <c r="AV36" s="113">
        <f>AV34+AV35</f>
        <v>229546</v>
      </c>
      <c r="AW36" s="97"/>
      <c r="AX36" s="110">
        <f>AX34+AX35</f>
        <v>59779</v>
      </c>
      <c r="AY36" s="111"/>
      <c r="AZ36" s="112">
        <f>AZ34+AZ35</f>
        <v>61568</v>
      </c>
      <c r="BA36" s="111"/>
      <c r="BB36" s="113">
        <f>BB34+BB35</f>
        <v>121347</v>
      </c>
      <c r="BC36" s="111"/>
      <c r="BD36" s="112">
        <f>BD34+BD35-1</f>
        <v>62067</v>
      </c>
      <c r="BE36" s="111"/>
      <c r="BF36" s="113">
        <f>BF34+BF35+1</f>
        <v>183415</v>
      </c>
    </row>
    <row r="37" spans="2:58">
      <c r="B37" s="250"/>
      <c r="C37" s="224"/>
      <c r="D37" s="228" t="s">
        <v>92</v>
      </c>
      <c r="E37" s="225"/>
      <c r="F37" s="113">
        <v>437</v>
      </c>
      <c r="G37" s="97"/>
      <c r="H37" s="110">
        <v>147</v>
      </c>
      <c r="I37" s="111"/>
      <c r="J37" s="237">
        <v>21</v>
      </c>
      <c r="K37" s="111"/>
      <c r="L37" s="113">
        <v>168</v>
      </c>
      <c r="M37" s="111"/>
      <c r="N37" s="237">
        <v>13</v>
      </c>
      <c r="O37" s="111"/>
      <c r="P37" s="113">
        <v>180</v>
      </c>
      <c r="Q37" s="111"/>
      <c r="R37" s="237">
        <v>21</v>
      </c>
      <c r="S37" s="111"/>
      <c r="T37" s="113">
        <v>202</v>
      </c>
      <c r="U37" s="97"/>
      <c r="V37" s="110">
        <v>14</v>
      </c>
      <c r="W37" s="111"/>
      <c r="X37" s="237">
        <v>29</v>
      </c>
      <c r="Y37" s="111"/>
      <c r="Z37" s="113">
        <v>42</v>
      </c>
      <c r="AA37" s="111"/>
      <c r="AB37" s="237">
        <v>20</v>
      </c>
      <c r="AC37" s="111"/>
      <c r="AD37" s="113">
        <v>62</v>
      </c>
      <c r="AE37" s="111"/>
      <c r="AF37" s="237">
        <v>15</v>
      </c>
      <c r="AG37" s="111"/>
      <c r="AH37" s="113">
        <v>78</v>
      </c>
      <c r="AI37" s="97"/>
      <c r="AJ37" s="110">
        <v>14</v>
      </c>
      <c r="AK37" s="111"/>
      <c r="AL37" s="237">
        <v>79</v>
      </c>
      <c r="AM37" s="111"/>
      <c r="AN37" s="113">
        <v>94</v>
      </c>
      <c r="AO37" s="111"/>
      <c r="AP37" s="237">
        <v>34</v>
      </c>
      <c r="AQ37" s="111"/>
      <c r="AR37" s="113">
        <v>127</v>
      </c>
      <c r="AS37" s="111"/>
      <c r="AT37" s="237">
        <v>28</v>
      </c>
      <c r="AU37" s="111"/>
      <c r="AV37" s="113">
        <v>155</v>
      </c>
      <c r="AW37" s="97"/>
      <c r="AX37" s="110">
        <v>39</v>
      </c>
      <c r="AY37" s="111"/>
      <c r="AZ37" s="237">
        <v>22</v>
      </c>
      <c r="BA37" s="111"/>
      <c r="BB37" s="113">
        <v>61</v>
      </c>
      <c r="BC37" s="111"/>
      <c r="BD37" s="237">
        <v>28</v>
      </c>
      <c r="BE37" s="111"/>
      <c r="BF37" s="113">
        <v>89</v>
      </c>
    </row>
    <row r="38" spans="2:58">
      <c r="B38" s="250"/>
      <c r="C38" s="224"/>
      <c r="D38" s="100" t="s">
        <v>93</v>
      </c>
      <c r="E38" s="225"/>
      <c r="F38" s="144">
        <f>SUM(F36:F37)</f>
        <v>174966</v>
      </c>
      <c r="G38" s="97"/>
      <c r="H38" s="253">
        <f>SUM(H36:H37)</f>
        <v>44883</v>
      </c>
      <c r="I38" s="111"/>
      <c r="J38" s="143">
        <f>SUM(J36:J37)</f>
        <v>45463</v>
      </c>
      <c r="K38" s="111"/>
      <c r="L38" s="144">
        <f>SUM(L36:L37)</f>
        <v>90346</v>
      </c>
      <c r="M38" s="111"/>
      <c r="N38" s="143">
        <f>SUM(N36:N37)</f>
        <v>46185</v>
      </c>
      <c r="O38" s="111"/>
      <c r="P38" s="144">
        <f>SUM(P36:P37)</f>
        <v>136530</v>
      </c>
      <c r="Q38" s="111"/>
      <c r="R38" s="143">
        <f>SUM(R36:R37)</f>
        <v>48649</v>
      </c>
      <c r="S38" s="111"/>
      <c r="T38" s="144">
        <f>SUM(T36:T37)</f>
        <v>185180</v>
      </c>
      <c r="U38" s="97"/>
      <c r="V38" s="253">
        <f>SUM(V36:V37)</f>
        <v>49275</v>
      </c>
      <c r="W38" s="111"/>
      <c r="X38" s="143">
        <f>SUM(X36:X37)</f>
        <v>50861</v>
      </c>
      <c r="Y38" s="111"/>
      <c r="Z38" s="144">
        <f>SUM(Z36:Z37)</f>
        <v>100136</v>
      </c>
      <c r="AA38" s="111"/>
      <c r="AB38" s="143">
        <f>SUM(AB36:AB37)</f>
        <v>51773</v>
      </c>
      <c r="AC38" s="111"/>
      <c r="AD38" s="144">
        <f>SUM(AD36:AD37)</f>
        <v>151909</v>
      </c>
      <c r="AE38" s="111"/>
      <c r="AF38" s="143">
        <f>SUM(AF36:AF37)</f>
        <v>53723</v>
      </c>
      <c r="AG38" s="111"/>
      <c r="AH38" s="144">
        <f>SUM(AH36:AH37)-1</f>
        <v>205632</v>
      </c>
      <c r="AI38" s="97"/>
      <c r="AJ38" s="253">
        <f>SUM(AJ36:AJ37)</f>
        <v>55407</v>
      </c>
      <c r="AK38" s="111"/>
      <c r="AL38" s="143">
        <f>SUM(AL36:AL37)</f>
        <v>56761</v>
      </c>
      <c r="AM38" s="111"/>
      <c r="AN38" s="144">
        <f>SUM(AN36:AN37)</f>
        <v>112168</v>
      </c>
      <c r="AO38" s="111"/>
      <c r="AP38" s="143">
        <f>SUM(AP36:AP37)</f>
        <v>57681</v>
      </c>
      <c r="AQ38" s="111"/>
      <c r="AR38" s="144">
        <f>SUM(AR36:AR37)</f>
        <v>169849</v>
      </c>
      <c r="AS38" s="111"/>
      <c r="AT38" s="143">
        <f>SUM(AT36:AT37)</f>
        <v>59852</v>
      </c>
      <c r="AU38" s="111"/>
      <c r="AV38" s="144">
        <f>SUM(AV36:AV37)</f>
        <v>229701</v>
      </c>
      <c r="AW38" s="97"/>
      <c r="AX38" s="253">
        <f>SUM(AX36:AX37)</f>
        <v>59818</v>
      </c>
      <c r="AY38" s="111"/>
      <c r="AZ38" s="143">
        <f>SUM(AZ36:AZ37)+1</f>
        <v>61591</v>
      </c>
      <c r="BA38" s="111"/>
      <c r="BB38" s="144">
        <f>SUM(BB36:BB37)+1</f>
        <v>121409</v>
      </c>
      <c r="BC38" s="111"/>
      <c r="BD38" s="143">
        <f>SUM(BD36:BD37)</f>
        <v>62095</v>
      </c>
      <c r="BE38" s="111"/>
      <c r="BF38" s="144">
        <f>SUM(BF36:BF37)</f>
        <v>183504</v>
      </c>
    </row>
    <row r="39" spans="2:58">
      <c r="B39" s="250"/>
      <c r="C39" s="97"/>
      <c r="D39" s="97"/>
      <c r="E39" s="225"/>
      <c r="F39" s="113"/>
      <c r="G39" s="97"/>
      <c r="H39" s="110"/>
      <c r="I39" s="97"/>
      <c r="J39" s="112"/>
      <c r="K39" s="111"/>
      <c r="L39" s="113"/>
      <c r="M39" s="97"/>
      <c r="N39" s="112"/>
      <c r="O39" s="111"/>
      <c r="P39" s="113"/>
      <c r="Q39" s="97"/>
      <c r="R39" s="112"/>
      <c r="S39" s="111"/>
      <c r="T39" s="113"/>
      <c r="U39" s="97"/>
      <c r="V39" s="110"/>
      <c r="W39" s="97"/>
      <c r="X39" s="112"/>
      <c r="Y39" s="111"/>
      <c r="Z39" s="113"/>
      <c r="AA39" s="97"/>
      <c r="AB39" s="112"/>
      <c r="AC39" s="111"/>
      <c r="AD39" s="113"/>
      <c r="AE39" s="97"/>
      <c r="AF39" s="112"/>
      <c r="AG39" s="111"/>
      <c r="AH39" s="113"/>
      <c r="AI39" s="97"/>
      <c r="AJ39" s="110"/>
      <c r="AK39" s="97"/>
      <c r="AL39" s="112"/>
      <c r="AM39" s="111"/>
      <c r="AN39" s="113"/>
      <c r="AO39" s="97"/>
      <c r="AP39" s="112"/>
      <c r="AQ39" s="111"/>
      <c r="AR39" s="113"/>
      <c r="AS39" s="97"/>
      <c r="AT39" s="112"/>
      <c r="AU39" s="111"/>
      <c r="AV39" s="113"/>
      <c r="AW39" s="97"/>
      <c r="AX39" s="110"/>
      <c r="AY39" s="97"/>
      <c r="AZ39" s="112"/>
      <c r="BA39" s="111"/>
      <c r="BB39" s="113"/>
      <c r="BC39" s="97"/>
      <c r="BD39" s="112"/>
      <c r="BE39" s="111"/>
      <c r="BF39" s="113"/>
    </row>
    <row r="40" spans="2:58">
      <c r="B40" s="250"/>
      <c r="C40" s="249" t="s">
        <v>28</v>
      </c>
      <c r="D40" s="228"/>
      <c r="E40" s="225"/>
      <c r="F40" s="113"/>
      <c r="G40" s="97"/>
      <c r="H40" s="110"/>
      <c r="I40" s="97"/>
      <c r="J40" s="112"/>
      <c r="K40" s="111"/>
      <c r="L40" s="113"/>
      <c r="M40" s="97"/>
      <c r="N40" s="112"/>
      <c r="O40" s="111"/>
      <c r="P40" s="113"/>
      <c r="Q40" s="97"/>
      <c r="R40" s="112"/>
      <c r="S40" s="111"/>
      <c r="T40" s="113"/>
      <c r="U40" s="97"/>
      <c r="V40" s="110"/>
      <c r="W40" s="97"/>
      <c r="X40" s="112"/>
      <c r="Y40" s="111"/>
      <c r="Z40" s="113"/>
      <c r="AA40" s="97"/>
      <c r="AB40" s="112"/>
      <c r="AC40" s="111"/>
      <c r="AD40" s="113"/>
      <c r="AE40" s="97"/>
      <c r="AF40" s="112"/>
      <c r="AG40" s="111"/>
      <c r="AH40" s="113"/>
      <c r="AI40" s="97"/>
      <c r="AJ40" s="110"/>
      <c r="AK40" s="97"/>
      <c r="AL40" s="112"/>
      <c r="AM40" s="111"/>
      <c r="AN40" s="113"/>
      <c r="AO40" s="97"/>
      <c r="AP40" s="112"/>
      <c r="AQ40" s="111"/>
      <c r="AR40" s="113"/>
      <c r="AS40" s="97"/>
      <c r="AT40" s="112"/>
      <c r="AU40" s="111"/>
      <c r="AV40" s="113"/>
      <c r="AW40" s="97"/>
      <c r="AX40" s="110"/>
      <c r="AY40" s="97"/>
      <c r="AZ40" s="112"/>
      <c r="BA40" s="111"/>
      <c r="BB40" s="113"/>
      <c r="BC40" s="97"/>
      <c r="BD40" s="112"/>
      <c r="BE40" s="111"/>
      <c r="BF40" s="113"/>
    </row>
    <row r="41" spans="2:58">
      <c r="B41" s="250"/>
      <c r="C41" s="228"/>
      <c r="D41" s="228" t="s">
        <v>99</v>
      </c>
      <c r="E41" s="225"/>
      <c r="F41" s="113">
        <v>78758</v>
      </c>
      <c r="G41" s="97"/>
      <c r="H41" s="110">
        <v>22249</v>
      </c>
      <c r="I41" s="97"/>
      <c r="J41" s="237">
        <v>23660</v>
      </c>
      <c r="K41" s="111"/>
      <c r="L41" s="113">
        <v>45909</v>
      </c>
      <c r="M41" s="97"/>
      <c r="N41" s="237">
        <v>23366</v>
      </c>
      <c r="O41" s="111"/>
      <c r="P41" s="113">
        <v>69273</v>
      </c>
      <c r="Q41" s="97"/>
      <c r="R41" s="237">
        <v>24451</v>
      </c>
      <c r="S41" s="111"/>
      <c r="T41" s="113">
        <v>93727</v>
      </c>
      <c r="U41" s="97"/>
      <c r="V41" s="110">
        <v>23960</v>
      </c>
      <c r="W41" s="97"/>
      <c r="X41" s="237">
        <v>23890</v>
      </c>
      <c r="Y41" s="111"/>
      <c r="Z41" s="113">
        <v>47850</v>
      </c>
      <c r="AA41" s="97"/>
      <c r="AB41" s="237">
        <v>25119</v>
      </c>
      <c r="AC41" s="111"/>
      <c r="AD41" s="113">
        <v>72969</v>
      </c>
      <c r="AE41" s="97"/>
      <c r="AF41" s="237">
        <v>24811</v>
      </c>
      <c r="AG41" s="111"/>
      <c r="AH41" s="113">
        <v>97780</v>
      </c>
      <c r="AI41" s="97"/>
      <c r="AJ41" s="110">
        <v>25755</v>
      </c>
      <c r="AK41" s="97"/>
      <c r="AL41" s="237">
        <v>26630</v>
      </c>
      <c r="AM41" s="111"/>
      <c r="AN41" s="113">
        <v>52384</v>
      </c>
      <c r="AO41" s="97"/>
      <c r="AP41" s="237">
        <v>25662</v>
      </c>
      <c r="AQ41" s="111"/>
      <c r="AR41" s="113">
        <v>78046</v>
      </c>
      <c r="AS41" s="97"/>
      <c r="AT41" s="237">
        <v>25486</v>
      </c>
      <c r="AU41" s="111"/>
      <c r="AV41" s="113">
        <v>103532</v>
      </c>
      <c r="AW41" s="97"/>
      <c r="AX41" s="110">
        <v>25759</v>
      </c>
      <c r="AY41" s="97"/>
      <c r="AZ41" s="237">
        <v>26638</v>
      </c>
      <c r="BA41" s="111"/>
      <c r="BB41" s="113">
        <v>52397</v>
      </c>
      <c r="BC41" s="97"/>
      <c r="BD41" s="237">
        <v>26767</v>
      </c>
      <c r="BE41" s="111"/>
      <c r="BF41" s="113">
        <v>79164</v>
      </c>
    </row>
    <row r="42" spans="2:58">
      <c r="B42" s="250"/>
      <c r="C42" s="228"/>
      <c r="D42" s="228" t="s">
        <v>74</v>
      </c>
      <c r="E42" s="225"/>
      <c r="F42" s="113">
        <v>169</v>
      </c>
      <c r="G42" s="97"/>
      <c r="H42" s="110">
        <v>53</v>
      </c>
      <c r="I42" s="97"/>
      <c r="J42" s="237">
        <v>3</v>
      </c>
      <c r="K42" s="111"/>
      <c r="L42" s="113">
        <v>56</v>
      </c>
      <c r="M42" s="97"/>
      <c r="N42" s="237">
        <v>5</v>
      </c>
      <c r="O42" s="111"/>
      <c r="P42" s="113">
        <v>64</v>
      </c>
      <c r="Q42" s="97"/>
      <c r="R42" s="237">
        <v>12</v>
      </c>
      <c r="S42" s="111"/>
      <c r="T42" s="113">
        <v>72</v>
      </c>
      <c r="U42" s="97"/>
      <c r="V42" s="110">
        <v>14</v>
      </c>
      <c r="W42" s="97"/>
      <c r="X42" s="237">
        <v>15</v>
      </c>
      <c r="Y42" s="111"/>
      <c r="Z42" s="113">
        <v>29</v>
      </c>
      <c r="AA42" s="97"/>
      <c r="AB42" s="237">
        <v>12</v>
      </c>
      <c r="AC42" s="111"/>
      <c r="AD42" s="113">
        <v>41</v>
      </c>
      <c r="AE42" s="97"/>
      <c r="AF42" s="237">
        <v>17</v>
      </c>
      <c r="AG42" s="111"/>
      <c r="AH42" s="113">
        <v>58</v>
      </c>
      <c r="AI42" s="97"/>
      <c r="AJ42" s="110">
        <v>10</v>
      </c>
      <c r="AK42" s="97"/>
      <c r="AL42" s="237">
        <v>11</v>
      </c>
      <c r="AM42" s="111"/>
      <c r="AN42" s="113">
        <v>20</v>
      </c>
      <c r="AO42" s="97"/>
      <c r="AP42" s="237">
        <v>21</v>
      </c>
      <c r="AQ42" s="111"/>
      <c r="AR42" s="113">
        <v>41</v>
      </c>
      <c r="AS42" s="97"/>
      <c r="AT42" s="237">
        <v>33</v>
      </c>
      <c r="AU42" s="111"/>
      <c r="AV42" s="113">
        <v>74</v>
      </c>
      <c r="AW42" s="97"/>
      <c r="AX42" s="110">
        <v>9</v>
      </c>
      <c r="AY42" s="97"/>
      <c r="AZ42" s="237">
        <v>13</v>
      </c>
      <c r="BA42" s="111"/>
      <c r="BB42" s="113">
        <v>21</v>
      </c>
      <c r="BC42" s="97"/>
      <c r="BD42" s="237">
        <v>8</v>
      </c>
      <c r="BE42" s="111"/>
      <c r="BF42" s="113">
        <v>30</v>
      </c>
    </row>
    <row r="43" spans="2:58">
      <c r="B43" s="250"/>
      <c r="C43" s="228"/>
      <c r="D43" s="228" t="s">
        <v>95</v>
      </c>
      <c r="E43" s="225"/>
      <c r="F43" s="113">
        <v>53738</v>
      </c>
      <c r="G43" s="97"/>
      <c r="H43" s="110">
        <v>12182</v>
      </c>
      <c r="I43" s="97"/>
      <c r="J43" s="237">
        <v>12295</v>
      </c>
      <c r="K43" s="111"/>
      <c r="L43" s="113">
        <v>24478</v>
      </c>
      <c r="M43" s="97"/>
      <c r="N43" s="237">
        <v>12896</v>
      </c>
      <c r="O43" s="111"/>
      <c r="P43" s="113">
        <v>37375</v>
      </c>
      <c r="Q43" s="97"/>
      <c r="R43" s="237">
        <v>13191</v>
      </c>
      <c r="S43" s="111"/>
      <c r="T43" s="113">
        <v>50564</v>
      </c>
      <c r="U43" s="97"/>
      <c r="V43" s="110">
        <v>12501</v>
      </c>
      <c r="W43" s="97"/>
      <c r="X43" s="237">
        <v>12799</v>
      </c>
      <c r="Y43" s="111"/>
      <c r="Z43" s="113">
        <v>25300</v>
      </c>
      <c r="AA43" s="97"/>
      <c r="AB43" s="237">
        <v>13204</v>
      </c>
      <c r="AC43" s="111"/>
      <c r="AD43" s="113">
        <v>38504</v>
      </c>
      <c r="AE43" s="97"/>
      <c r="AF43" s="237">
        <v>15138</v>
      </c>
      <c r="AG43" s="111"/>
      <c r="AH43" s="113">
        <v>53642</v>
      </c>
      <c r="AI43" s="97"/>
      <c r="AJ43" s="110">
        <v>13299</v>
      </c>
      <c r="AK43" s="97"/>
      <c r="AL43" s="237">
        <v>14558</v>
      </c>
      <c r="AM43" s="111"/>
      <c r="AN43" s="113">
        <v>27856</v>
      </c>
      <c r="AO43" s="97"/>
      <c r="AP43" s="237">
        <v>14085</v>
      </c>
      <c r="AQ43" s="111"/>
      <c r="AR43" s="113">
        <v>41942</v>
      </c>
      <c r="AS43" s="97"/>
      <c r="AT43" s="237">
        <v>14989</v>
      </c>
      <c r="AU43" s="111"/>
      <c r="AV43" s="113">
        <v>56930</v>
      </c>
      <c r="AW43" s="97"/>
      <c r="AX43" s="110">
        <v>14294</v>
      </c>
      <c r="AY43" s="97"/>
      <c r="AZ43" s="237">
        <v>15227</v>
      </c>
      <c r="BA43" s="111"/>
      <c r="BB43" s="113">
        <v>29521</v>
      </c>
      <c r="BC43" s="97"/>
      <c r="BD43" s="237">
        <v>14911</v>
      </c>
      <c r="BE43" s="111"/>
      <c r="BF43" s="113">
        <v>44432</v>
      </c>
    </row>
    <row r="44" spans="2:58">
      <c r="B44" s="250"/>
      <c r="C44" s="228"/>
      <c r="D44" s="228" t="s">
        <v>31</v>
      </c>
      <c r="E44" s="225"/>
      <c r="F44" s="113">
        <v>35271</v>
      </c>
      <c r="G44" s="97"/>
      <c r="H44" s="110">
        <v>9181</v>
      </c>
      <c r="I44" s="97"/>
      <c r="J44" s="237">
        <v>9272</v>
      </c>
      <c r="K44" s="111"/>
      <c r="L44" s="113">
        <v>18452</v>
      </c>
      <c r="M44" s="97"/>
      <c r="N44" s="237">
        <v>9012</v>
      </c>
      <c r="O44" s="111"/>
      <c r="P44" s="113">
        <v>27463</v>
      </c>
      <c r="Q44" s="97"/>
      <c r="R44" s="237">
        <v>9125</v>
      </c>
      <c r="S44" s="111"/>
      <c r="T44" s="113">
        <v>36589</v>
      </c>
      <c r="U44" s="97"/>
      <c r="V44" s="110">
        <v>10094</v>
      </c>
      <c r="W44" s="97"/>
      <c r="X44" s="237">
        <v>10941</v>
      </c>
      <c r="Y44" s="111"/>
      <c r="Z44" s="113">
        <v>21035</v>
      </c>
      <c r="AA44" s="97"/>
      <c r="AB44" s="237">
        <v>11143</v>
      </c>
      <c r="AC44" s="111"/>
      <c r="AD44" s="113">
        <v>32178</v>
      </c>
      <c r="AE44" s="97"/>
      <c r="AF44" s="237">
        <v>11922</v>
      </c>
      <c r="AG44" s="111"/>
      <c r="AH44" s="113">
        <v>44100</v>
      </c>
      <c r="AI44" s="97"/>
      <c r="AJ44" s="110">
        <v>17242</v>
      </c>
      <c r="AK44" s="97"/>
      <c r="AL44" s="237">
        <v>17794</v>
      </c>
      <c r="AM44" s="111"/>
      <c r="AN44" s="113">
        <v>35035</v>
      </c>
      <c r="AO44" s="97"/>
      <c r="AP44" s="237">
        <v>17381</v>
      </c>
      <c r="AQ44" s="111"/>
      <c r="AR44" s="113">
        <v>52416</v>
      </c>
      <c r="AS44" s="97"/>
      <c r="AT44" s="237">
        <v>16947</v>
      </c>
      <c r="AU44" s="111"/>
      <c r="AV44" s="113">
        <v>69364</v>
      </c>
      <c r="AW44" s="97"/>
      <c r="AX44" s="110">
        <v>16926</v>
      </c>
      <c r="AY44" s="97"/>
      <c r="AZ44" s="237">
        <v>17107</v>
      </c>
      <c r="BA44" s="111"/>
      <c r="BB44" s="113">
        <v>34033</v>
      </c>
      <c r="BC44" s="97"/>
      <c r="BD44" s="237">
        <v>17068</v>
      </c>
      <c r="BE44" s="111"/>
      <c r="BF44" s="113">
        <v>51100</v>
      </c>
    </row>
    <row r="45" spans="2:58">
      <c r="B45" s="250"/>
      <c r="C45" s="225"/>
      <c r="D45" s="225" t="s">
        <v>100</v>
      </c>
      <c r="E45" s="225"/>
      <c r="F45" s="113">
        <v>691</v>
      </c>
      <c r="G45" s="97"/>
      <c r="H45" s="110">
        <v>547</v>
      </c>
      <c r="I45" s="97"/>
      <c r="J45" s="237">
        <v>392</v>
      </c>
      <c r="K45" s="111"/>
      <c r="L45" s="113">
        <v>939</v>
      </c>
      <c r="M45" s="97"/>
      <c r="N45" s="237">
        <v>885</v>
      </c>
      <c r="O45" s="111"/>
      <c r="P45" s="113">
        <v>1823</v>
      </c>
      <c r="Q45" s="97"/>
      <c r="R45" s="237">
        <v>575</v>
      </c>
      <c r="S45" s="111"/>
      <c r="T45" s="113">
        <v>2399</v>
      </c>
      <c r="U45" s="97"/>
      <c r="V45" s="110">
        <v>423</v>
      </c>
      <c r="W45" s="97"/>
      <c r="X45" s="237">
        <v>372</v>
      </c>
      <c r="Y45" s="111"/>
      <c r="Z45" s="113">
        <v>795</v>
      </c>
      <c r="AA45" s="97"/>
      <c r="AB45" s="237">
        <v>592</v>
      </c>
      <c r="AC45" s="111"/>
      <c r="AD45" s="113">
        <v>1387</v>
      </c>
      <c r="AE45" s="97"/>
      <c r="AF45" s="237">
        <v>840</v>
      </c>
      <c r="AG45" s="111"/>
      <c r="AH45" s="113">
        <v>2228</v>
      </c>
      <c r="AI45" s="97"/>
      <c r="AJ45" s="110">
        <v>250</v>
      </c>
      <c r="AK45" s="97"/>
      <c r="AL45" s="237">
        <v>329</v>
      </c>
      <c r="AM45" s="111"/>
      <c r="AN45" s="113">
        <v>579</v>
      </c>
      <c r="AO45" s="97"/>
      <c r="AP45" s="237">
        <v>688</v>
      </c>
      <c r="AQ45" s="111"/>
      <c r="AR45" s="113">
        <v>1267</v>
      </c>
      <c r="AS45" s="97"/>
      <c r="AT45" s="237">
        <v>232</v>
      </c>
      <c r="AU45" s="111"/>
      <c r="AV45" s="113">
        <v>1499</v>
      </c>
      <c r="AW45" s="97"/>
      <c r="AX45" s="110">
        <v>405</v>
      </c>
      <c r="AY45" s="97"/>
      <c r="AZ45" s="237">
        <v>151</v>
      </c>
      <c r="BA45" s="111"/>
      <c r="BB45" s="113">
        <v>556</v>
      </c>
      <c r="BC45" s="97"/>
      <c r="BD45" s="237">
        <v>96</v>
      </c>
      <c r="BE45" s="111"/>
      <c r="BF45" s="113">
        <v>652</v>
      </c>
    </row>
    <row r="46" spans="2:58">
      <c r="B46" s="250"/>
      <c r="C46" s="106"/>
      <c r="D46" s="100" t="s">
        <v>96</v>
      </c>
      <c r="E46" s="225"/>
      <c r="F46" s="144">
        <f>SUM(F41:F45)</f>
        <v>168627</v>
      </c>
      <c r="G46" s="97"/>
      <c r="H46" s="253">
        <f>SUM(H41:H45)</f>
        <v>44212</v>
      </c>
      <c r="I46" s="111"/>
      <c r="J46" s="143">
        <f>SUM(J41:J45)</f>
        <v>45622</v>
      </c>
      <c r="K46" s="254"/>
      <c r="L46" s="144">
        <f>SUM(L41:L45)</f>
        <v>89834</v>
      </c>
      <c r="M46" s="111"/>
      <c r="N46" s="143">
        <f>SUM(N41:N45)</f>
        <v>46164</v>
      </c>
      <c r="O46" s="254"/>
      <c r="P46" s="144">
        <f>SUM(P41:P45)</f>
        <v>135998</v>
      </c>
      <c r="Q46" s="111"/>
      <c r="R46" s="143">
        <f>SUM(R41:R45)</f>
        <v>47354</v>
      </c>
      <c r="S46" s="254"/>
      <c r="T46" s="144">
        <f>SUM(T41:T45)</f>
        <v>183351</v>
      </c>
      <c r="U46" s="97"/>
      <c r="V46" s="253">
        <f>SUM(V41:V45)</f>
        <v>46992</v>
      </c>
      <c r="W46" s="111"/>
      <c r="X46" s="143">
        <f>SUM(X41:X45)</f>
        <v>48017</v>
      </c>
      <c r="Y46" s="254"/>
      <c r="Z46" s="144">
        <f>SUM(Z41:Z45)</f>
        <v>95009</v>
      </c>
      <c r="AA46" s="111"/>
      <c r="AB46" s="143">
        <f>SUM(AB41:AB45)-1</f>
        <v>50069</v>
      </c>
      <c r="AC46" s="254"/>
      <c r="AD46" s="144">
        <f>SUM(AD41:AD45)</f>
        <v>145079</v>
      </c>
      <c r="AE46" s="111"/>
      <c r="AF46" s="143">
        <f>SUM(AF41:AF45)</f>
        <v>52728</v>
      </c>
      <c r="AG46" s="254"/>
      <c r="AH46" s="144">
        <f>SUM(AH41:AH45)</f>
        <v>197808</v>
      </c>
      <c r="AI46" s="97"/>
      <c r="AJ46" s="253">
        <f>SUM(AJ41:AJ45)-1</f>
        <v>56555</v>
      </c>
      <c r="AK46" s="111"/>
      <c r="AL46" s="143">
        <f>SUM(AL41:AL45)</f>
        <v>59322</v>
      </c>
      <c r="AM46" s="254"/>
      <c r="AN46" s="144">
        <f>SUM(AN41:AN45)</f>
        <v>115874</v>
      </c>
      <c r="AO46" s="111"/>
      <c r="AP46" s="143">
        <f>SUM(AP41:AP45)</f>
        <v>57837</v>
      </c>
      <c r="AQ46" s="254"/>
      <c r="AR46" s="144">
        <f>SUM(AR41:AR45)</f>
        <v>173712</v>
      </c>
      <c r="AS46" s="111"/>
      <c r="AT46" s="143">
        <f>SUM(AT41:AT45)-1</f>
        <v>57686</v>
      </c>
      <c r="AU46" s="254"/>
      <c r="AV46" s="144">
        <f>SUM(AV41:AV45)</f>
        <v>231399</v>
      </c>
      <c r="AW46" s="97"/>
      <c r="AX46" s="253">
        <f>SUM(AX41:AX45)-1</f>
        <v>57392</v>
      </c>
      <c r="AY46" s="111"/>
      <c r="AZ46" s="143">
        <f>SUM(AZ41:AZ45)</f>
        <v>59136</v>
      </c>
      <c r="BA46" s="254"/>
      <c r="BB46" s="144">
        <f>SUM(BB41:BB45)</f>
        <v>116528</v>
      </c>
      <c r="BC46" s="111"/>
      <c r="BD46" s="143">
        <f>SUM(BD41:BD45)</f>
        <v>58850</v>
      </c>
      <c r="BE46" s="254"/>
      <c r="BF46" s="144">
        <f>SUM(BF41:BF45)</f>
        <v>175378</v>
      </c>
    </row>
    <row r="47" spans="2:58">
      <c r="B47" s="250"/>
      <c r="C47" s="106"/>
      <c r="D47" s="106"/>
      <c r="E47" s="225"/>
      <c r="F47" s="113"/>
      <c r="G47" s="97"/>
      <c r="H47" s="110"/>
      <c r="I47" s="97"/>
      <c r="J47" s="112"/>
      <c r="K47" s="111"/>
      <c r="L47" s="113"/>
      <c r="M47" s="97"/>
      <c r="N47" s="112"/>
      <c r="O47" s="111"/>
      <c r="P47" s="113"/>
      <c r="Q47" s="97"/>
      <c r="R47" s="112"/>
      <c r="S47" s="111"/>
      <c r="T47" s="113"/>
      <c r="U47" s="97"/>
      <c r="V47" s="110"/>
      <c r="W47" s="97"/>
      <c r="X47" s="112"/>
      <c r="Y47" s="111"/>
      <c r="Z47" s="113"/>
      <c r="AA47" s="97"/>
      <c r="AB47" s="112"/>
      <c r="AC47" s="111"/>
      <c r="AD47" s="113"/>
      <c r="AE47" s="97"/>
      <c r="AF47" s="112"/>
      <c r="AG47" s="111"/>
      <c r="AH47" s="113"/>
      <c r="AI47" s="97"/>
      <c r="AJ47" s="110"/>
      <c r="AK47" s="97"/>
      <c r="AL47" s="112"/>
      <c r="AM47" s="111"/>
      <c r="AN47" s="113"/>
      <c r="AO47" s="97"/>
      <c r="AP47" s="112"/>
      <c r="AQ47" s="111"/>
      <c r="AR47" s="113"/>
      <c r="AS47" s="97"/>
      <c r="AT47" s="112"/>
      <c r="AU47" s="111"/>
      <c r="AV47" s="113"/>
      <c r="AW47" s="97"/>
      <c r="AX47" s="110"/>
      <c r="AY47" s="97"/>
      <c r="AZ47" s="112"/>
      <c r="BA47" s="111"/>
      <c r="BB47" s="113"/>
      <c r="BC47" s="97"/>
      <c r="BD47" s="112"/>
      <c r="BE47" s="111"/>
      <c r="BF47" s="113"/>
    </row>
    <row r="48" spans="2:58">
      <c r="B48" s="250"/>
      <c r="C48" s="153" t="s">
        <v>101</v>
      </c>
      <c r="D48" s="106"/>
      <c r="E48" s="224"/>
      <c r="F48" s="113">
        <f>F38-F46-1</f>
        <v>6338</v>
      </c>
      <c r="G48" s="97"/>
      <c r="H48" s="110">
        <f>H38-H46</f>
        <v>671</v>
      </c>
      <c r="I48" s="254"/>
      <c r="J48" s="112">
        <f>J38-J46</f>
        <v>-159</v>
      </c>
      <c r="K48" s="111"/>
      <c r="L48" s="113">
        <f>L38-L46</f>
        <v>512</v>
      </c>
      <c r="M48" s="254"/>
      <c r="N48" s="112">
        <f>N38-N46</f>
        <v>21</v>
      </c>
      <c r="O48" s="111"/>
      <c r="P48" s="113">
        <f>P38-P46+1</f>
        <v>533</v>
      </c>
      <c r="Q48" s="254"/>
      <c r="R48" s="112">
        <f>R38-R46</f>
        <v>1295</v>
      </c>
      <c r="S48" s="111"/>
      <c r="T48" s="113">
        <f>T38-T46</f>
        <v>1829</v>
      </c>
      <c r="U48" s="97"/>
      <c r="V48" s="110">
        <f>V38-V46</f>
        <v>2283</v>
      </c>
      <c r="W48" s="254"/>
      <c r="X48" s="112">
        <f>X38-X46</f>
        <v>2844</v>
      </c>
      <c r="Y48" s="111"/>
      <c r="Z48" s="113">
        <f>Z38-Z46-1</f>
        <v>5126</v>
      </c>
      <c r="AA48" s="254"/>
      <c r="AB48" s="112">
        <f>AB38-AB46</f>
        <v>1704</v>
      </c>
      <c r="AC48" s="111"/>
      <c r="AD48" s="113">
        <f>AD38-AD46+1</f>
        <v>6831</v>
      </c>
      <c r="AE48" s="254"/>
      <c r="AF48" s="112">
        <f>AF38-AF46</f>
        <v>995</v>
      </c>
      <c r="AG48" s="111"/>
      <c r="AH48" s="113">
        <f>AH38-AH46+1</f>
        <v>7825</v>
      </c>
      <c r="AI48" s="97"/>
      <c r="AJ48" s="110">
        <f>AJ38-AJ46</f>
        <v>-1148</v>
      </c>
      <c r="AK48" s="254"/>
      <c r="AL48" s="112">
        <f>AL38-AL46+1</f>
        <v>-2560</v>
      </c>
      <c r="AM48" s="111"/>
      <c r="AN48" s="113">
        <f>AN38-AN46-1</f>
        <v>-3707</v>
      </c>
      <c r="AO48" s="254"/>
      <c r="AP48" s="112">
        <f>AP38-AP46</f>
        <v>-156</v>
      </c>
      <c r="AQ48" s="111"/>
      <c r="AR48" s="113">
        <f>AR38-AR46</f>
        <v>-3863</v>
      </c>
      <c r="AS48" s="254"/>
      <c r="AT48" s="112">
        <f>AT38-AT46</f>
        <v>2166</v>
      </c>
      <c r="AU48" s="111"/>
      <c r="AV48" s="113">
        <f>AV38-AV46</f>
        <v>-1698</v>
      </c>
      <c r="AW48" s="97"/>
      <c r="AX48" s="110">
        <f>AX38-AX46</f>
        <v>2426</v>
      </c>
      <c r="AY48" s="254"/>
      <c r="AZ48" s="112">
        <f>AZ38-AZ46</f>
        <v>2455</v>
      </c>
      <c r="BA48" s="111"/>
      <c r="BB48" s="113">
        <f>BB38-BB46</f>
        <v>4881</v>
      </c>
      <c r="BC48" s="254"/>
      <c r="BD48" s="112">
        <f>BD38-BD46</f>
        <v>3245</v>
      </c>
      <c r="BE48" s="111"/>
      <c r="BF48" s="113">
        <f>BF38-BF46</f>
        <v>8126</v>
      </c>
    </row>
    <row r="49" spans="2:58">
      <c r="B49" s="250"/>
      <c r="C49" s="251"/>
      <c r="D49" s="225"/>
      <c r="E49" s="225"/>
      <c r="F49" s="113"/>
      <c r="G49" s="97"/>
      <c r="H49" s="110"/>
      <c r="I49" s="97"/>
      <c r="J49" s="252"/>
      <c r="K49" s="111"/>
      <c r="L49" s="113"/>
      <c r="M49" s="97"/>
      <c r="N49" s="252"/>
      <c r="O49" s="111"/>
      <c r="P49" s="113"/>
      <c r="Q49" s="97"/>
      <c r="R49" s="252"/>
      <c r="S49" s="111"/>
      <c r="T49" s="113"/>
      <c r="U49" s="97"/>
      <c r="V49" s="110"/>
      <c r="W49" s="97"/>
      <c r="X49" s="252"/>
      <c r="Y49" s="111"/>
      <c r="Z49" s="113"/>
      <c r="AA49" s="97"/>
      <c r="AB49" s="252"/>
      <c r="AC49" s="111"/>
      <c r="AD49" s="113"/>
      <c r="AE49" s="97"/>
      <c r="AF49" s="252"/>
      <c r="AG49" s="111"/>
      <c r="AH49" s="113"/>
      <c r="AI49" s="97"/>
      <c r="AJ49" s="110"/>
      <c r="AK49" s="97"/>
      <c r="AL49" s="252"/>
      <c r="AM49" s="111"/>
      <c r="AN49" s="113"/>
      <c r="AO49" s="97"/>
      <c r="AP49" s="252"/>
      <c r="AQ49" s="111"/>
      <c r="AR49" s="113"/>
      <c r="AS49" s="97"/>
      <c r="AT49" s="252"/>
      <c r="AU49" s="111"/>
      <c r="AV49" s="113"/>
      <c r="AW49" s="97"/>
      <c r="AX49" s="110"/>
      <c r="AY49" s="97"/>
      <c r="AZ49" s="252"/>
      <c r="BA49" s="111"/>
      <c r="BB49" s="113"/>
      <c r="BC49" s="97"/>
      <c r="BD49" s="252"/>
      <c r="BE49" s="111"/>
      <c r="BF49" s="113"/>
    </row>
    <row r="50" spans="2:58">
      <c r="B50" s="97"/>
      <c r="C50" s="234"/>
      <c r="D50" s="251" t="s">
        <v>102</v>
      </c>
      <c r="E50" s="97"/>
      <c r="F50" s="257">
        <v>-686</v>
      </c>
      <c r="G50" s="97"/>
      <c r="H50" s="255">
        <v>-190</v>
      </c>
      <c r="I50" s="97"/>
      <c r="J50" s="237">
        <v>-185</v>
      </c>
      <c r="K50" s="256"/>
      <c r="L50" s="257">
        <v>-374</v>
      </c>
      <c r="M50" s="97"/>
      <c r="N50" s="237">
        <v>-225</v>
      </c>
      <c r="O50" s="256"/>
      <c r="P50" s="257">
        <v>-599</v>
      </c>
      <c r="Q50" s="97"/>
      <c r="R50" s="237">
        <v>-235</v>
      </c>
      <c r="S50" s="256"/>
      <c r="T50" s="257">
        <v>-834</v>
      </c>
      <c r="U50" s="97"/>
      <c r="V50" s="255">
        <v>-235</v>
      </c>
      <c r="W50" s="97"/>
      <c r="X50" s="237">
        <v>-232</v>
      </c>
      <c r="Y50" s="256"/>
      <c r="Z50" s="257">
        <v>-467</v>
      </c>
      <c r="AA50" s="97"/>
      <c r="AB50" s="237">
        <v>-252</v>
      </c>
      <c r="AC50" s="256"/>
      <c r="AD50" s="257">
        <v>-719</v>
      </c>
      <c r="AE50" s="97"/>
      <c r="AF50" s="237">
        <v>-269</v>
      </c>
      <c r="AG50" s="256"/>
      <c r="AH50" s="257">
        <v>-988</v>
      </c>
      <c r="AI50" s="97"/>
      <c r="AJ50" s="255">
        <v>-281</v>
      </c>
      <c r="AK50" s="97"/>
      <c r="AL50" s="237">
        <v>-300</v>
      </c>
      <c r="AM50" s="256"/>
      <c r="AN50" s="257">
        <v>-581</v>
      </c>
      <c r="AO50" s="97"/>
      <c r="AP50" s="237">
        <v>-290</v>
      </c>
      <c r="AQ50" s="256"/>
      <c r="AR50" s="257">
        <v>-871</v>
      </c>
      <c r="AS50" s="97"/>
      <c r="AT50" s="237">
        <v>-330</v>
      </c>
      <c r="AU50" s="256"/>
      <c r="AV50" s="257">
        <v>-1201</v>
      </c>
      <c r="AW50" s="97"/>
      <c r="AX50" s="255">
        <v>-311</v>
      </c>
      <c r="AY50" s="97"/>
      <c r="AZ50" s="237">
        <v>-382</v>
      </c>
      <c r="BA50" s="256"/>
      <c r="BB50" s="257">
        <v>-693</v>
      </c>
      <c r="BC50" s="97"/>
      <c r="BD50" s="237">
        <v>-163</v>
      </c>
      <c r="BE50" s="256"/>
      <c r="BF50" s="257">
        <v>-856</v>
      </c>
    </row>
    <row r="51" spans="2:58">
      <c r="B51" s="97"/>
      <c r="C51" s="234"/>
      <c r="D51" s="251" t="s">
        <v>103</v>
      </c>
      <c r="E51" s="97"/>
      <c r="F51" s="257">
        <v>-686</v>
      </c>
      <c r="G51" s="97"/>
      <c r="H51" s="255">
        <v>-190</v>
      </c>
      <c r="I51" s="97"/>
      <c r="J51" s="237">
        <v>-185</v>
      </c>
      <c r="K51" s="256"/>
      <c r="L51" s="257">
        <v>-374</v>
      </c>
      <c r="M51" s="97"/>
      <c r="N51" s="237">
        <v>-225</v>
      </c>
      <c r="O51" s="256"/>
      <c r="P51" s="257">
        <v>-599</v>
      </c>
      <c r="Q51" s="97"/>
      <c r="R51" s="237">
        <v>-235</v>
      </c>
      <c r="S51" s="256"/>
      <c r="T51" s="257">
        <v>-834</v>
      </c>
      <c r="U51" s="97"/>
      <c r="V51" s="255">
        <v>-235</v>
      </c>
      <c r="W51" s="97"/>
      <c r="X51" s="237">
        <v>-232</v>
      </c>
      <c r="Y51" s="256"/>
      <c r="Z51" s="257">
        <v>-467</v>
      </c>
      <c r="AA51" s="97"/>
      <c r="AB51" s="237">
        <v>-252</v>
      </c>
      <c r="AC51" s="256"/>
      <c r="AD51" s="257">
        <v>-719</v>
      </c>
      <c r="AE51" s="97"/>
      <c r="AF51" s="237">
        <v>-269</v>
      </c>
      <c r="AG51" s="256"/>
      <c r="AH51" s="257">
        <v>-988</v>
      </c>
      <c r="AI51" s="97"/>
      <c r="AJ51" s="255">
        <v>-281</v>
      </c>
      <c r="AK51" s="97"/>
      <c r="AL51" s="237">
        <v>-300</v>
      </c>
      <c r="AM51" s="256"/>
      <c r="AN51" s="257">
        <v>-581</v>
      </c>
      <c r="AO51" s="97"/>
      <c r="AP51" s="237">
        <v>-290</v>
      </c>
      <c r="AQ51" s="256"/>
      <c r="AR51" s="257">
        <v>-871</v>
      </c>
      <c r="AS51" s="97"/>
      <c r="AT51" s="237">
        <v>-330</v>
      </c>
      <c r="AU51" s="256"/>
      <c r="AV51" s="257">
        <v>-1201</v>
      </c>
      <c r="AW51" s="97"/>
      <c r="AX51" s="255">
        <v>-311</v>
      </c>
      <c r="AY51" s="97"/>
      <c r="AZ51" s="237">
        <v>-382</v>
      </c>
      <c r="BA51" s="256"/>
      <c r="BB51" s="257">
        <v>-693</v>
      </c>
      <c r="BC51" s="97"/>
      <c r="BD51" s="237">
        <v>-163</v>
      </c>
      <c r="BE51" s="256"/>
      <c r="BF51" s="257">
        <v>-856</v>
      </c>
    </row>
    <row r="52" spans="2:58">
      <c r="B52" s="250"/>
      <c r="C52" s="225"/>
      <c r="D52" s="225"/>
      <c r="E52" s="225"/>
      <c r="F52" s="113"/>
      <c r="G52" s="97"/>
      <c r="H52" s="110"/>
      <c r="I52" s="97"/>
      <c r="J52" s="112"/>
      <c r="K52" s="111"/>
      <c r="L52" s="113"/>
      <c r="M52" s="97"/>
      <c r="N52" s="112"/>
      <c r="O52" s="111"/>
      <c r="P52" s="113"/>
      <c r="Q52" s="97"/>
      <c r="R52" s="112"/>
      <c r="S52" s="111"/>
      <c r="T52" s="113"/>
      <c r="U52" s="97"/>
      <c r="V52" s="110"/>
      <c r="W52" s="97"/>
      <c r="X52" s="112"/>
      <c r="Y52" s="111"/>
      <c r="Z52" s="113"/>
      <c r="AA52" s="97"/>
      <c r="AB52" s="112"/>
      <c r="AC52" s="111"/>
      <c r="AD52" s="113"/>
      <c r="AE52" s="97"/>
      <c r="AF52" s="112"/>
      <c r="AG52" s="111"/>
      <c r="AH52" s="113"/>
      <c r="AI52" s="97"/>
      <c r="AJ52" s="110"/>
      <c r="AK52" s="97"/>
      <c r="AL52" s="112"/>
      <c r="AM52" s="111"/>
      <c r="AN52" s="113"/>
      <c r="AO52" s="97"/>
      <c r="AP52" s="112"/>
      <c r="AQ52" s="111"/>
      <c r="AR52" s="113"/>
      <c r="AS52" s="97"/>
      <c r="AT52" s="112"/>
      <c r="AU52" s="111"/>
      <c r="AV52" s="113"/>
      <c r="AW52" s="97"/>
      <c r="AX52" s="110"/>
      <c r="AY52" s="97"/>
      <c r="AZ52" s="112"/>
      <c r="BA52" s="111"/>
      <c r="BB52" s="113"/>
      <c r="BC52" s="97"/>
      <c r="BD52" s="112"/>
      <c r="BE52" s="111"/>
      <c r="BF52" s="113"/>
    </row>
    <row r="53" spans="2:58">
      <c r="B53" s="153" t="s">
        <v>104</v>
      </c>
      <c r="C53" s="153"/>
      <c r="D53" s="153"/>
      <c r="E53" s="153"/>
      <c r="F53" s="260">
        <f>F30+F48</f>
        <v>91082</v>
      </c>
      <c r="G53" s="227"/>
      <c r="H53" s="258">
        <f>H30+H48</f>
        <v>20314</v>
      </c>
      <c r="I53" s="227"/>
      <c r="J53" s="259">
        <f>J30+J48</f>
        <v>23724</v>
      </c>
      <c r="K53" s="227"/>
      <c r="L53" s="260">
        <f>L30+L48</f>
        <v>44038</v>
      </c>
      <c r="M53" s="227"/>
      <c r="N53" s="259">
        <f>N30+N48</f>
        <v>15463</v>
      </c>
      <c r="O53" s="227"/>
      <c r="P53" s="260">
        <f>P30+P48</f>
        <v>59501</v>
      </c>
      <c r="Q53" s="227"/>
      <c r="R53" s="259">
        <f>R30+R48</f>
        <v>19375</v>
      </c>
      <c r="S53" s="227"/>
      <c r="T53" s="260">
        <f>T30+T48</f>
        <v>78876</v>
      </c>
      <c r="U53" s="227"/>
      <c r="V53" s="258">
        <f>V30+V48</f>
        <v>30265</v>
      </c>
      <c r="W53" s="227"/>
      <c r="X53" s="259">
        <f>X30+X48</f>
        <v>30784</v>
      </c>
      <c r="Y53" s="227"/>
      <c r="Z53" s="260">
        <f>Z30+Z48</f>
        <v>61049</v>
      </c>
      <c r="AA53" s="227"/>
      <c r="AB53" s="259">
        <f>AB30+AB48</f>
        <v>27162</v>
      </c>
      <c r="AC53" s="227"/>
      <c r="AD53" s="260">
        <f>AD30+AD48</f>
        <v>88212</v>
      </c>
      <c r="AE53" s="227"/>
      <c r="AF53" s="259">
        <f>AF30+AF48</f>
        <v>28009</v>
      </c>
      <c r="AG53" s="227"/>
      <c r="AH53" s="260">
        <f>AH30+AH48</f>
        <v>116221</v>
      </c>
      <c r="AI53" s="227"/>
      <c r="AJ53" s="258">
        <f>AJ30+AJ48</f>
        <v>25130</v>
      </c>
      <c r="AK53" s="227"/>
      <c r="AL53" s="259">
        <f>AL30+AL48+1</f>
        <v>18315</v>
      </c>
      <c r="AM53" s="227"/>
      <c r="AN53" s="260">
        <f>AN30+AN48</f>
        <v>43445</v>
      </c>
      <c r="AO53" s="227"/>
      <c r="AP53" s="259">
        <f>AP30+AP48</f>
        <v>27501</v>
      </c>
      <c r="AQ53" s="227"/>
      <c r="AR53" s="260">
        <f>AR30+AR48-1</f>
        <v>70946</v>
      </c>
      <c r="AS53" s="227"/>
      <c r="AT53" s="259">
        <f>AT30+AT48-1</f>
        <v>21974</v>
      </c>
      <c r="AU53" s="227"/>
      <c r="AV53" s="260">
        <f>AV30+AV48+1</f>
        <v>92921</v>
      </c>
      <c r="AW53" s="227"/>
      <c r="AX53" s="258">
        <f>AX30+AX48</f>
        <v>36897</v>
      </c>
      <c r="AY53" s="227"/>
      <c r="AZ53" s="259">
        <f>AZ30+AZ48</f>
        <v>29299</v>
      </c>
      <c r="BA53" s="227"/>
      <c r="BB53" s="260">
        <f>BB30+BB48</f>
        <v>66196</v>
      </c>
      <c r="BC53" s="227"/>
      <c r="BD53" s="259">
        <f>BD30+BD48</f>
        <v>19582</v>
      </c>
      <c r="BE53" s="227"/>
      <c r="BF53" s="260">
        <f>BF30+BF48</f>
        <v>85778</v>
      </c>
    </row>
    <row r="54" spans="2:58">
      <c r="B54" s="159"/>
      <c r="C54" s="130"/>
      <c r="D54" s="130"/>
      <c r="E54" s="130"/>
      <c r="F54" s="164"/>
      <c r="G54" s="97"/>
      <c r="H54" s="162"/>
      <c r="I54" s="97"/>
      <c r="J54" s="241"/>
      <c r="K54" s="213"/>
      <c r="L54" s="164"/>
      <c r="M54" s="97"/>
      <c r="N54" s="241"/>
      <c r="O54" s="213"/>
      <c r="P54" s="164"/>
      <c r="Q54" s="97"/>
      <c r="R54" s="241"/>
      <c r="S54" s="213"/>
      <c r="T54" s="164"/>
      <c r="U54" s="97"/>
      <c r="V54" s="162"/>
      <c r="W54" s="97"/>
      <c r="X54" s="241"/>
      <c r="Y54" s="213"/>
      <c r="Z54" s="164"/>
      <c r="AA54" s="97"/>
      <c r="AB54" s="241"/>
      <c r="AC54" s="213"/>
      <c r="AD54" s="164"/>
      <c r="AE54" s="97"/>
      <c r="AF54" s="241"/>
      <c r="AG54" s="213"/>
      <c r="AH54" s="164"/>
      <c r="AI54" s="97"/>
      <c r="AJ54" s="162"/>
      <c r="AK54" s="97"/>
      <c r="AL54" s="241"/>
      <c r="AM54" s="213"/>
      <c r="AN54" s="164"/>
      <c r="AO54" s="97"/>
      <c r="AP54" s="241"/>
      <c r="AQ54" s="213"/>
      <c r="AR54" s="164"/>
      <c r="AS54" s="97"/>
      <c r="AT54" s="241"/>
      <c r="AU54" s="213"/>
      <c r="AV54" s="164"/>
      <c r="AW54" s="97"/>
      <c r="AX54" s="162"/>
      <c r="AY54" s="97"/>
      <c r="AZ54" s="241"/>
      <c r="BA54" s="213"/>
      <c r="BB54" s="164"/>
      <c r="BC54" s="97"/>
      <c r="BD54" s="241"/>
      <c r="BE54" s="213"/>
      <c r="BF54" s="164"/>
    </row>
  </sheetData>
  <mergeCells count="4">
    <mergeCell ref="F6:F9"/>
    <mergeCell ref="T6:T9"/>
    <mergeCell ref="AH6:AH9"/>
    <mergeCell ref="AV6:AV9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TDS</vt:lpstr>
      <vt:lpstr>USM</vt:lpstr>
      <vt:lpstr>TELECOM</vt:lpstr>
      <vt:lpstr>Sheet1</vt:lpstr>
      <vt:lpstr>Sheet2</vt:lpstr>
      <vt:lpstr>Sheet3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 D.</dc:creator>
  <cp:lastModifiedBy>Mathews, Julie D.</cp:lastModifiedBy>
  <dcterms:created xsi:type="dcterms:W3CDTF">2017-04-25T20:17:15Z</dcterms:created>
  <dcterms:modified xsi:type="dcterms:W3CDTF">2019-10-31T17:54:16Z</dcterms:modified>
</cp:coreProperties>
</file>