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ere.sharepoint.com/sites/Investor-Relations/Shared Documents/General/04-Content/Fact Book/Fact Book 2025/Historical Fact Book/"/>
    </mc:Choice>
  </mc:AlternateContent>
  <xr:revisionPtr revIDLastSave="15" documentId="8_{8D965151-803F-47F2-B938-A3B414631751}" xr6:coauthVersionLast="47" xr6:coauthVersionMax="47" xr10:uidLastSave="{03D85896-EFAB-4BEA-87B6-EB6BFFE96B71}"/>
  <bookViews>
    <workbookView xWindow="28680" yWindow="-120" windowWidth="29040" windowHeight="15720" tabRatio="782" xr2:uid="{57E22C99-32C0-4160-A570-5C65D189302F}"/>
  </bookViews>
  <sheets>
    <sheet name="Income Statement -1" sheetId="1" r:id="rId1"/>
    <sheet name="Inc Stmt % To Net Sales-2" sheetId="2" r:id="rId2"/>
    <sheet name="Quarterly Sales-3" sheetId="3" r:id="rId3"/>
    <sheet name="Exports &amp; Operating Profit-4" sheetId="4" r:id="rId4"/>
    <sheet name="Balance Sheet-5" sheetId="5" r:id="rId5"/>
    <sheet name="Cash Flow-6" sheetId="6" r:id="rId6"/>
    <sheet name="Depr &amp; Capital &amp; Empl-7" sheetId="7" r:id="rId7"/>
  </sheets>
  <definedNames>
    <definedName name="_xlnm.Print_Area" localSheetId="4">'Balance Sheet-5'!$A$1:$O$49</definedName>
    <definedName name="_xlnm.Print_Area" localSheetId="5">'Cash Flow-6'!$A$1:$O$48</definedName>
    <definedName name="_xlnm.Print_Area" localSheetId="6">'Depr &amp; Capital &amp; Empl-7'!$A$1:$O$34</definedName>
    <definedName name="_xlnm.Print_Area" localSheetId="3">'Exports &amp; Operating Profit-4'!$A$1:$R$30</definedName>
    <definedName name="_xlnm.Print_Area" localSheetId="1">'Inc Stmt % To Net Sales-2'!$A$1:$O$32</definedName>
    <definedName name="_xlnm.Print_Area" localSheetId="2">'Quarterly Sales-3'!$A$1:$T$34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5" i="6" l="1"/>
  <c r="O44" i="6"/>
  <c r="O41" i="6"/>
  <c r="O31" i="6"/>
  <c r="O20" i="6"/>
  <c r="O40" i="5"/>
  <c r="O30" i="5"/>
  <c r="O19" i="5"/>
  <c r="R25" i="4"/>
  <c r="O43" i="6" l="1"/>
  <c r="O41" i="5"/>
  <c r="R31" i="3"/>
  <c r="R29" i="3"/>
  <c r="R28" i="3"/>
  <c r="R27" i="3"/>
  <c r="R26" i="3"/>
  <c r="R25" i="3"/>
  <c r="O30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6" i="2"/>
  <c r="O5" i="2"/>
  <c r="O4" i="2"/>
  <c r="O3" i="2"/>
  <c r="O14" i="1"/>
  <c r="O6" i="1"/>
  <c r="O7" i="7"/>
  <c r="O24" i="7"/>
  <c r="O8" i="7"/>
  <c r="R32" i="3" l="1"/>
  <c r="O15" i="1"/>
  <c r="O17" i="1" s="1"/>
  <c r="O19" i="1" s="1"/>
  <c r="O21" i="1" s="1"/>
  <c r="N7" i="7"/>
  <c r="N33" i="7"/>
  <c r="Q31" i="3"/>
  <c r="Q29" i="3"/>
  <c r="Q28" i="3"/>
  <c r="Q27" i="3"/>
  <c r="Q26" i="3"/>
  <c r="Q25" i="3"/>
  <c r="M15" i="3"/>
  <c r="N8" i="2"/>
  <c r="N4" i="2"/>
  <c r="N23" i="1"/>
  <c r="N24" i="7" l="1"/>
  <c r="N8" i="7"/>
  <c r="N41" i="6"/>
  <c r="N31" i="6"/>
  <c r="N20" i="6"/>
  <c r="N40" i="5"/>
  <c r="N30" i="5"/>
  <c r="N19" i="5"/>
  <c r="Q25" i="4"/>
  <c r="Q32" i="3"/>
  <c r="N3" i="2"/>
  <c r="N5" i="2"/>
  <c r="N9" i="2"/>
  <c r="N10" i="2"/>
  <c r="N11" i="2"/>
  <c r="N12" i="2"/>
  <c r="N13" i="2"/>
  <c r="N15" i="2"/>
  <c r="N16" i="2"/>
  <c r="N18" i="2"/>
  <c r="N20" i="2"/>
  <c r="N30" i="2"/>
  <c r="N14" i="1"/>
  <c r="N14" i="2" s="1"/>
  <c r="N6" i="1"/>
  <c r="N15" i="1" s="1"/>
  <c r="N17" i="1" s="1"/>
  <c r="N19" i="1" s="1"/>
  <c r="N21" i="1" s="1"/>
  <c r="N21" i="2" s="1"/>
  <c r="N43" i="6" l="1"/>
  <c r="N17" i="2"/>
  <c r="N19" i="2"/>
  <c r="N6" i="2"/>
  <c r="N41" i="5"/>
  <c r="M3" i="2" l="1"/>
  <c r="M4" i="2"/>
  <c r="M5" i="2"/>
  <c r="M8" i="2"/>
  <c r="M9" i="2"/>
  <c r="M10" i="2"/>
  <c r="M11" i="2"/>
  <c r="M12" i="2"/>
  <c r="M13" i="2"/>
  <c r="M15" i="2"/>
  <c r="M16" i="2"/>
  <c r="M18" i="2"/>
  <c r="M20" i="2"/>
  <c r="M33" i="7" l="1"/>
  <c r="M32" i="7"/>
  <c r="M34" i="7" s="1"/>
  <c r="M24" i="7"/>
  <c r="M7" i="7" l="1"/>
  <c r="M8" i="7" s="1"/>
  <c r="M41" i="6"/>
  <c r="M31" i="6"/>
  <c r="M20" i="6"/>
  <c r="M40" i="5"/>
  <c r="M41" i="5" s="1"/>
  <c r="M30" i="5"/>
  <c r="M19" i="5"/>
  <c r="P25" i="4"/>
  <c r="M30" i="2"/>
  <c r="M43" i="6" l="1"/>
  <c r="P28" i="3"/>
  <c r="P31" i="3"/>
  <c r="P29" i="3"/>
  <c r="P27" i="3"/>
  <c r="P26" i="3"/>
  <c r="P25" i="3"/>
  <c r="P32" i="3" l="1"/>
  <c r="M13" i="3"/>
  <c r="F13" i="3"/>
  <c r="M17" i="1" l="1"/>
  <c r="M17" i="2" s="1"/>
  <c r="M14" i="1"/>
  <c r="M14" i="2" s="1"/>
  <c r="M6" i="1"/>
  <c r="M6" i="2" s="1"/>
  <c r="K41" i="6"/>
  <c r="L41" i="6"/>
  <c r="D41" i="6"/>
  <c r="E41" i="6"/>
  <c r="F41" i="6"/>
  <c r="G41" i="6"/>
  <c r="H41" i="6"/>
  <c r="I41" i="6"/>
  <c r="J41" i="6"/>
  <c r="C41" i="6"/>
  <c r="G40" i="5"/>
  <c r="F40" i="5"/>
  <c r="M19" i="1" l="1"/>
  <c r="D19" i="5"/>
  <c r="C17" i="5"/>
  <c r="C9" i="5"/>
  <c r="M19" i="2" l="1"/>
  <c r="M21" i="1"/>
  <c r="M21" i="2" s="1"/>
  <c r="D19" i="6"/>
  <c r="G19" i="6"/>
  <c r="H19" i="6"/>
  <c r="I19" i="6"/>
  <c r="M31" i="3" l="1"/>
  <c r="M29" i="3"/>
  <c r="M28" i="3"/>
  <c r="M27" i="3"/>
  <c r="M26" i="3"/>
  <c r="M25" i="3"/>
  <c r="N31" i="3"/>
  <c r="N29" i="3"/>
  <c r="N28" i="3"/>
  <c r="N27" i="3"/>
  <c r="N26" i="3"/>
  <c r="N25" i="3"/>
  <c r="O31" i="3"/>
  <c r="O29" i="3"/>
  <c r="O28" i="3"/>
  <c r="O27" i="3"/>
  <c r="O26" i="3"/>
  <c r="O25" i="3"/>
  <c r="M25" i="4"/>
  <c r="N25" i="4"/>
  <c r="O25" i="4"/>
  <c r="H25" i="5"/>
  <c r="H17" i="5"/>
  <c r="H9" i="5"/>
  <c r="I25" i="5"/>
  <c r="J25" i="5"/>
  <c r="I17" i="5"/>
  <c r="I9" i="5"/>
  <c r="J9" i="5"/>
  <c r="L19" i="5"/>
  <c r="L37" i="5"/>
  <c r="L40" i="5" s="1"/>
  <c r="D19" i="1"/>
  <c r="M32" i="3" l="1"/>
  <c r="N32" i="3"/>
  <c r="C19" i="5"/>
  <c r="E19" i="5"/>
  <c r="F19" i="5"/>
  <c r="G19" i="5"/>
  <c r="H19" i="5"/>
  <c r="I19" i="5"/>
  <c r="J19" i="5"/>
  <c r="K19" i="5"/>
  <c r="D2" i="2" l="1"/>
  <c r="E2" i="2"/>
  <c r="F2" i="2"/>
  <c r="G2" i="2"/>
  <c r="H2" i="2"/>
  <c r="I2" i="2"/>
  <c r="J2" i="2"/>
  <c r="K2" i="2"/>
  <c r="L2" i="2"/>
  <c r="C2" i="2"/>
  <c r="I19" i="1"/>
  <c r="D21" i="1"/>
  <c r="F21" i="1"/>
  <c r="G21" i="1"/>
  <c r="H21" i="1"/>
  <c r="I21" i="1"/>
  <c r="J21" i="1"/>
  <c r="K21" i="1"/>
  <c r="C19" i="1"/>
  <c r="C21" i="1" s="1"/>
  <c r="E19" i="1"/>
  <c r="E21" i="1" s="1"/>
  <c r="F19" i="1"/>
  <c r="G19" i="1"/>
  <c r="H19" i="1"/>
  <c r="J19" i="1"/>
  <c r="K19" i="1"/>
  <c r="F20" i="6" l="1"/>
  <c r="J30" i="5" l="1"/>
  <c r="K34" i="7"/>
  <c r="J34" i="7"/>
  <c r="I34" i="7"/>
  <c r="H34" i="7"/>
  <c r="G34" i="7"/>
  <c r="F34" i="7"/>
  <c r="E34" i="7"/>
  <c r="D34" i="7"/>
  <c r="C34" i="7"/>
  <c r="L34" i="7"/>
  <c r="L24" i="7"/>
  <c r="K24" i="7"/>
  <c r="J24" i="7"/>
  <c r="I24" i="7"/>
  <c r="H24" i="7"/>
  <c r="G24" i="7"/>
  <c r="F24" i="7"/>
  <c r="E24" i="7"/>
  <c r="D24" i="7"/>
  <c r="C24" i="7"/>
  <c r="I8" i="7"/>
  <c r="H8" i="7"/>
  <c r="G8" i="7"/>
  <c r="F8" i="7"/>
  <c r="E8" i="7"/>
  <c r="D8" i="7"/>
  <c r="C8" i="7"/>
  <c r="L7" i="7"/>
  <c r="L8" i="7" s="1"/>
  <c r="K7" i="7"/>
  <c r="K8" i="7" s="1"/>
  <c r="J7" i="7"/>
  <c r="J8" i="7" s="1"/>
  <c r="C31" i="6"/>
  <c r="D31" i="6"/>
  <c r="E31" i="6"/>
  <c r="F31" i="6"/>
  <c r="F43" i="6" s="1"/>
  <c r="G31" i="6"/>
  <c r="H31" i="6"/>
  <c r="I31" i="6"/>
  <c r="J31" i="6"/>
  <c r="K31" i="6"/>
  <c r="C20" i="6"/>
  <c r="C43" i="6" s="1"/>
  <c r="D20" i="6"/>
  <c r="E20" i="6"/>
  <c r="G20" i="6"/>
  <c r="H20" i="6"/>
  <c r="I20" i="6"/>
  <c r="J20" i="6"/>
  <c r="K20" i="6"/>
  <c r="L31" i="6"/>
  <c r="L20" i="6"/>
  <c r="C40" i="5"/>
  <c r="D40" i="5"/>
  <c r="E40" i="5"/>
  <c r="H40" i="5"/>
  <c r="I40" i="5"/>
  <c r="J40" i="5"/>
  <c r="K40" i="5"/>
  <c r="C30" i="5"/>
  <c r="D30" i="5"/>
  <c r="E30" i="5"/>
  <c r="F30" i="5"/>
  <c r="F41" i="5" s="1"/>
  <c r="G30" i="5"/>
  <c r="H30" i="5"/>
  <c r="I30" i="5"/>
  <c r="K30" i="5"/>
  <c r="K41" i="5" s="1"/>
  <c r="G43" i="6" l="1"/>
  <c r="J43" i="6"/>
  <c r="I43" i="6"/>
  <c r="K43" i="6"/>
  <c r="H43" i="6"/>
  <c r="D43" i="6"/>
  <c r="E43" i="6"/>
  <c r="C41" i="5"/>
  <c r="H41" i="5"/>
  <c r="I41" i="5"/>
  <c r="D41" i="5"/>
  <c r="G41" i="5"/>
  <c r="J41" i="5"/>
  <c r="E41" i="5"/>
  <c r="L43" i="6"/>
  <c r="L45" i="6" s="1"/>
  <c r="L30" i="5"/>
  <c r="L41" i="5" s="1"/>
  <c r="O32" i="3"/>
  <c r="D21" i="2" l="1"/>
  <c r="E21" i="2"/>
  <c r="F21" i="2"/>
  <c r="G21" i="2"/>
  <c r="H21" i="2"/>
  <c r="I21" i="2"/>
  <c r="J21" i="2"/>
  <c r="K21" i="2"/>
  <c r="C21" i="2"/>
  <c r="C15" i="2"/>
  <c r="D15" i="2"/>
  <c r="E15" i="2"/>
  <c r="F15" i="2"/>
  <c r="G15" i="2"/>
  <c r="H15" i="2"/>
  <c r="I15" i="2"/>
  <c r="J15" i="2"/>
  <c r="K15" i="2"/>
  <c r="C16" i="2"/>
  <c r="D16" i="2"/>
  <c r="E16" i="2"/>
  <c r="F16" i="2"/>
  <c r="G16" i="2"/>
  <c r="H16" i="2"/>
  <c r="I16" i="2"/>
  <c r="J16" i="2"/>
  <c r="K16" i="2"/>
  <c r="L16" i="2"/>
  <c r="C17" i="2"/>
  <c r="D17" i="2"/>
  <c r="E17" i="2"/>
  <c r="F17" i="2"/>
  <c r="G17" i="2"/>
  <c r="H17" i="2"/>
  <c r="I17" i="2"/>
  <c r="J17" i="2"/>
  <c r="K17" i="2"/>
  <c r="C18" i="2"/>
  <c r="D18" i="2"/>
  <c r="E18" i="2"/>
  <c r="F18" i="2"/>
  <c r="G18" i="2"/>
  <c r="H18" i="2"/>
  <c r="I18" i="2"/>
  <c r="J18" i="2"/>
  <c r="K18" i="2"/>
  <c r="L18" i="2"/>
  <c r="C19" i="2"/>
  <c r="D19" i="2"/>
  <c r="E19" i="2"/>
  <c r="F19" i="2"/>
  <c r="G19" i="2"/>
  <c r="H19" i="2"/>
  <c r="I19" i="2"/>
  <c r="J19" i="2"/>
  <c r="K19" i="2"/>
  <c r="C20" i="2"/>
  <c r="D20" i="2"/>
  <c r="E20" i="2"/>
  <c r="F20" i="2"/>
  <c r="G20" i="2"/>
  <c r="H20" i="2"/>
  <c r="I20" i="2"/>
  <c r="J20" i="2"/>
  <c r="K20" i="2"/>
  <c r="L20" i="2"/>
  <c r="C14" i="2"/>
  <c r="D14" i="2"/>
  <c r="E14" i="2"/>
  <c r="F14" i="2"/>
  <c r="G14" i="2"/>
  <c r="H14" i="2"/>
  <c r="I14" i="2"/>
  <c r="J14" i="2"/>
  <c r="K14" i="2"/>
  <c r="C9" i="2"/>
  <c r="D9" i="2"/>
  <c r="E9" i="2"/>
  <c r="F9" i="2"/>
  <c r="G9" i="2"/>
  <c r="H9" i="2"/>
  <c r="I9" i="2"/>
  <c r="J9" i="2"/>
  <c r="K9" i="2"/>
  <c r="L9" i="2"/>
  <c r="C10" i="2"/>
  <c r="D10" i="2"/>
  <c r="E10" i="2"/>
  <c r="F10" i="2"/>
  <c r="G10" i="2"/>
  <c r="H10" i="2"/>
  <c r="I10" i="2"/>
  <c r="J10" i="2"/>
  <c r="K10" i="2"/>
  <c r="L10" i="2"/>
  <c r="C11" i="2"/>
  <c r="D11" i="2"/>
  <c r="E11" i="2"/>
  <c r="F11" i="2"/>
  <c r="G11" i="2"/>
  <c r="H11" i="2"/>
  <c r="I11" i="2"/>
  <c r="J11" i="2"/>
  <c r="K11" i="2"/>
  <c r="L11" i="2"/>
  <c r="C12" i="2"/>
  <c r="D12" i="2"/>
  <c r="E12" i="2"/>
  <c r="F12" i="2"/>
  <c r="G12" i="2"/>
  <c r="H12" i="2"/>
  <c r="I12" i="2"/>
  <c r="J12" i="2"/>
  <c r="K12" i="2"/>
  <c r="L12" i="2"/>
  <c r="C13" i="2"/>
  <c r="D13" i="2"/>
  <c r="E13" i="2"/>
  <c r="F13" i="2"/>
  <c r="G13" i="2"/>
  <c r="H13" i="2"/>
  <c r="I13" i="2"/>
  <c r="J13" i="2"/>
  <c r="K13" i="2"/>
  <c r="L13" i="2"/>
  <c r="D8" i="2"/>
  <c r="E8" i="2"/>
  <c r="F8" i="2"/>
  <c r="G8" i="2"/>
  <c r="H8" i="2"/>
  <c r="I8" i="2"/>
  <c r="J8" i="2"/>
  <c r="K8" i="2"/>
  <c r="L8" i="2"/>
  <c r="C8" i="2"/>
  <c r="D6" i="2"/>
  <c r="E6" i="2"/>
  <c r="F6" i="2"/>
  <c r="G6" i="2"/>
  <c r="H6" i="2"/>
  <c r="I6" i="2"/>
  <c r="J6" i="2"/>
  <c r="K6" i="2"/>
  <c r="C6" i="2"/>
  <c r="D5" i="2"/>
  <c r="E5" i="2"/>
  <c r="F5" i="2"/>
  <c r="G5" i="2"/>
  <c r="H5" i="2"/>
  <c r="I5" i="2"/>
  <c r="J5" i="2"/>
  <c r="K5" i="2"/>
  <c r="L5" i="2"/>
  <c r="C5" i="2"/>
  <c r="D4" i="2"/>
  <c r="E4" i="2"/>
  <c r="F4" i="2"/>
  <c r="G4" i="2"/>
  <c r="H4" i="2"/>
  <c r="I4" i="2"/>
  <c r="J4" i="2"/>
  <c r="K4" i="2"/>
  <c r="L4" i="2"/>
  <c r="C4" i="2"/>
  <c r="D3" i="2"/>
  <c r="E3" i="2"/>
  <c r="F3" i="2"/>
  <c r="G3" i="2"/>
  <c r="H3" i="2"/>
  <c r="I3" i="2"/>
  <c r="J3" i="2"/>
  <c r="K3" i="2"/>
  <c r="L3" i="2"/>
  <c r="C3" i="2"/>
  <c r="L30" i="2"/>
  <c r="L14" i="1" l="1"/>
  <c r="L14" i="2" s="1"/>
  <c r="L6" i="1"/>
  <c r="L15" i="1" l="1"/>
  <c r="L6" i="2"/>
  <c r="L17" i="1" l="1"/>
  <c r="L19" i="1" s="1"/>
  <c r="L15" i="2"/>
  <c r="L17" i="2" l="1"/>
  <c r="L21" i="1" l="1"/>
  <c r="L21" i="2" s="1"/>
  <c r="L19" i="2"/>
</calcChain>
</file>

<file path=xl/sharedStrings.xml><?xml version="1.0" encoding="utf-8"?>
<sst xmlns="http://schemas.openxmlformats.org/spreadsheetml/2006/main" count="231" uniqueCount="193">
  <si>
    <t>Net Sales and Revenues</t>
  </si>
  <si>
    <t>Net sales</t>
  </si>
  <si>
    <t>Finance and interest income</t>
  </si>
  <si>
    <t>Other income</t>
  </si>
  <si>
    <t xml:space="preserve">     Total</t>
  </si>
  <si>
    <t>Costs and Expenses</t>
  </si>
  <si>
    <r>
      <t>Cost of Sales</t>
    </r>
    <r>
      <rPr>
        <vertAlign val="superscript"/>
        <sz val="18"/>
        <rFont val="Verdana"/>
        <family val="2"/>
      </rPr>
      <t>(1)</t>
    </r>
  </si>
  <si>
    <r>
      <t>Research and development expenses</t>
    </r>
    <r>
      <rPr>
        <vertAlign val="superscript"/>
        <sz val="18"/>
        <rFont val="Verdana"/>
        <family val="2"/>
      </rPr>
      <t>(1)</t>
    </r>
  </si>
  <si>
    <r>
      <t>Selling, administrative and general expenses</t>
    </r>
    <r>
      <rPr>
        <vertAlign val="superscript"/>
        <sz val="18"/>
        <rFont val="Verdana"/>
        <family val="2"/>
      </rPr>
      <t>(1)</t>
    </r>
  </si>
  <si>
    <t>Interest expense</t>
  </si>
  <si>
    <t>Interest compensation to Financial Services</t>
  </si>
  <si>
    <r>
      <t>Other operating expenses</t>
    </r>
    <r>
      <rPr>
        <vertAlign val="superscript"/>
        <sz val="18"/>
        <rFont val="Verdana"/>
        <family val="2"/>
      </rPr>
      <t>(1)</t>
    </r>
  </si>
  <si>
    <t>Provision for income taxes</t>
  </si>
  <si>
    <t>Other</t>
  </si>
  <si>
    <t>Net Income</t>
  </si>
  <si>
    <t>Less: Net income (loss) attributable to noncontrolling interests</t>
  </si>
  <si>
    <t>Net Income Attributable to Deere &amp; Company</t>
  </si>
  <si>
    <r>
      <t>Average number of common shares outstanding - basic</t>
    </r>
    <r>
      <rPr>
        <sz val="14"/>
        <rFont val="Verdana"/>
        <family val="2"/>
      </rPr>
      <t xml:space="preserve"> (in thousands)</t>
    </r>
  </si>
  <si>
    <r>
      <t>Net income per share - basic</t>
    </r>
    <r>
      <rPr>
        <vertAlign val="superscript"/>
        <sz val="18"/>
        <rFont val="Verdana"/>
        <family val="2"/>
      </rPr>
      <t>(2)</t>
    </r>
  </si>
  <si>
    <r>
      <t>Net income per share - diluted</t>
    </r>
    <r>
      <rPr>
        <vertAlign val="superscript"/>
        <sz val="18"/>
        <rFont val="Verdana"/>
        <family val="2"/>
      </rPr>
      <t>(2)</t>
    </r>
  </si>
  <si>
    <t xml:space="preserve">(1) In 1Q 2018, the company early adopted Financial Accounting Standards Board (FASB) Accounting Standard Update (ASU) No. 2017-07, Improving the Presentation of Net Periodic Pension Cost and Net Periodic Postretirement </t>
  </si>
  <si>
    <t xml:space="preserve">      Benefit Cost, which amends Accounting Standards Codification (ASC) 715, Compensation - Retirement Benefits.  Prior periods were restated for this change.</t>
  </si>
  <si>
    <t>(2) Attributable to Deere &amp; Company</t>
  </si>
  <si>
    <t>Cost of sales</t>
  </si>
  <si>
    <t>Research and development expenses</t>
  </si>
  <si>
    <t>Selling, administrative and general expenses</t>
  </si>
  <si>
    <t>Other operating expenses</t>
  </si>
  <si>
    <r>
      <t>Net Sales by Operating Segment</t>
    </r>
    <r>
      <rPr>
        <i/>
        <sz val="16"/>
        <rFont val="Verdana"/>
        <family val="2"/>
      </rPr>
      <t xml:space="preserve"> (millions of dollars) </t>
    </r>
  </si>
  <si>
    <t>Net Sales:</t>
  </si>
  <si>
    <t>Agriculture and turf</t>
  </si>
  <si>
    <r>
      <t>Production &amp; precision ag</t>
    </r>
    <r>
      <rPr>
        <vertAlign val="superscript"/>
        <sz val="18"/>
        <rFont val="Verdana"/>
        <family val="2"/>
      </rPr>
      <t>(1)</t>
    </r>
  </si>
  <si>
    <r>
      <t>Small ag &amp; turf</t>
    </r>
    <r>
      <rPr>
        <vertAlign val="superscript"/>
        <sz val="18"/>
        <rFont val="Verdana"/>
        <family val="2"/>
      </rPr>
      <t>(1)</t>
    </r>
  </si>
  <si>
    <t>Construction &amp; forestry</t>
  </si>
  <si>
    <t xml:space="preserve">     Total </t>
  </si>
  <si>
    <t xml:space="preserve">(1) Beginning in fiscal year 2021, the company implemented a new operating model and reporting structure. With this change, the company’s agriculture and turf operations were divided into two new segments, </t>
  </si>
  <si>
    <t xml:space="preserve">     production &amp; precision ag and small ag &amp; turf.  For informational purposes only, segment financial data for fiscal years 2020, 2019, and 2018 have been provided. </t>
  </si>
  <si>
    <r>
      <t>Quarterly Net Sales</t>
    </r>
    <r>
      <rPr>
        <i/>
        <sz val="18"/>
        <rFont val="Verdana"/>
        <family val="2"/>
      </rPr>
      <t xml:space="preserve"> </t>
    </r>
  </si>
  <si>
    <t>Quarterly Net Income Attributable to Deere &amp; Company</t>
  </si>
  <si>
    <t>Quarterly Net Income Per Share – Diluted</t>
  </si>
  <si>
    <t>(millions of dollars)</t>
  </si>
  <si>
    <t xml:space="preserve">(dollars) </t>
  </si>
  <si>
    <t>1Q</t>
  </si>
  <si>
    <t>2Q</t>
  </si>
  <si>
    <t>3Q</t>
  </si>
  <si>
    <t>4Q</t>
  </si>
  <si>
    <t>Total</t>
  </si>
  <si>
    <t xml:space="preserve">1Q </t>
  </si>
  <si>
    <t xml:space="preserve">2Q </t>
  </si>
  <si>
    <t xml:space="preserve">3Q </t>
  </si>
  <si>
    <t xml:space="preserve">4Q </t>
  </si>
  <si>
    <t xml:space="preserve">Total </t>
  </si>
  <si>
    <t>2017(1)</t>
  </si>
  <si>
    <t>(1) In 3Q 2017, the company adopted Financial Accounting Standard Board (FASB) Accounting Standards Update (ASU) No. 2016-09, Improvements to Employee Share-Based Payment Accounting;</t>
  </si>
  <si>
    <t xml:space="preserve">     1Q 2017 and 2Q 2017 were restated for this change.</t>
  </si>
  <si>
    <r>
      <t>Equipment Operations Net Sales and Revenues by Major Markets</t>
    </r>
    <r>
      <rPr>
        <i/>
        <sz val="18"/>
        <rFont val="Verdana"/>
        <family val="2"/>
      </rPr>
      <t xml:space="preserve"> </t>
    </r>
    <r>
      <rPr>
        <i/>
        <sz val="16"/>
        <rFont val="Verdana"/>
        <family val="2"/>
      </rPr>
      <t xml:space="preserve">(millions of dollars) </t>
    </r>
    <r>
      <rPr>
        <vertAlign val="superscript"/>
        <sz val="18"/>
        <rFont val="Verdana"/>
        <family val="2"/>
      </rPr>
      <t>(1)</t>
    </r>
  </si>
  <si>
    <t>Net Sales</t>
  </si>
  <si>
    <t>Net Sales &amp; Revenues</t>
  </si>
  <si>
    <t>United States</t>
  </si>
  <si>
    <t>Canada</t>
  </si>
  <si>
    <t>Western Europe</t>
  </si>
  <si>
    <t>Central Europe &amp; CIS</t>
  </si>
  <si>
    <t>Latin America</t>
  </si>
  <si>
    <t xml:space="preserve">Asia, Africa, Australia, </t>
  </si>
  <si>
    <t>New Zealand &amp; Middle East</t>
  </si>
  <si>
    <r>
      <t>Exports from U.S.</t>
    </r>
    <r>
      <rPr>
        <b/>
        <sz val="10"/>
        <rFont val="Verdana"/>
        <family val="2"/>
      </rPr>
      <t xml:space="preserve"> </t>
    </r>
  </si>
  <si>
    <r>
      <t>Operating Profit</t>
    </r>
    <r>
      <rPr>
        <i/>
        <sz val="10"/>
        <rFont val="Verdana"/>
        <family val="2"/>
      </rPr>
      <t xml:space="preserve"> </t>
    </r>
    <r>
      <rPr>
        <i/>
        <sz val="16"/>
        <rFont val="Verdana"/>
        <family val="2"/>
      </rPr>
      <t xml:space="preserve">(millions of dollars) </t>
    </r>
  </si>
  <si>
    <t>Operating Profit (Loss) by Operating Segment:</t>
  </si>
  <si>
    <r>
      <t>Agriculture and turf</t>
    </r>
    <r>
      <rPr>
        <vertAlign val="superscript"/>
        <sz val="18"/>
        <rFont val="Verdana"/>
        <family val="2"/>
      </rPr>
      <t>(1)</t>
    </r>
  </si>
  <si>
    <r>
      <t>Production &amp; precision ag</t>
    </r>
    <r>
      <rPr>
        <vertAlign val="superscript"/>
        <sz val="18"/>
        <rFont val="Verdana"/>
        <family val="2"/>
      </rPr>
      <t>(2)</t>
    </r>
  </si>
  <si>
    <r>
      <t>Small ag &amp; turf</t>
    </r>
    <r>
      <rPr>
        <vertAlign val="superscript"/>
        <sz val="18"/>
        <rFont val="Verdana"/>
        <family val="2"/>
      </rPr>
      <t>(2)</t>
    </r>
  </si>
  <si>
    <r>
      <t>Construction and forestry</t>
    </r>
    <r>
      <rPr>
        <vertAlign val="superscript"/>
        <sz val="18"/>
        <rFont val="Verdana"/>
        <family val="2"/>
      </rPr>
      <t>(1)</t>
    </r>
  </si>
  <si>
    <r>
      <t>Financial services</t>
    </r>
    <r>
      <rPr>
        <vertAlign val="superscript"/>
        <sz val="18"/>
        <rFont val="Verdana"/>
        <family val="2"/>
      </rPr>
      <t>(1)(3)</t>
    </r>
  </si>
  <si>
    <t>Total operating profit</t>
  </si>
  <si>
    <t>(1) Fiscal years 2013-2017 amounts were restated for the adoption of ASU No. 2017-07, Improving the Presentation of Net Periodic Pension Cost and Net Periodic Postretirement Benefit Cost.</t>
  </si>
  <si>
    <t xml:space="preserve">(2) Beginning in fiscal year 2021, the company implemented a new operating model and reporting structure. With this change, the company’s agriculture and turf operations were </t>
  </si>
  <si>
    <t xml:space="preserve">     divided into two new segments, production &amp; precision ag and small ag &amp; turf.  For informational purposes only, segment financial data for fiscal years 2020, 2019 and 2018 have been provided.</t>
  </si>
  <si>
    <t>(3) Operating profit of the financial services business segment includes the effect of its interest expense and foreign exchange gains or losses.</t>
  </si>
  <si>
    <t>Assets</t>
  </si>
  <si>
    <t>Cash and cash equivalents</t>
  </si>
  <si>
    <t>Marketable securities</t>
  </si>
  <si>
    <t>Trade accounts and notes receivable - net</t>
  </si>
  <si>
    <t>Financing receivables - net</t>
  </si>
  <si>
    <t>Financing receivables securitized - net</t>
  </si>
  <si>
    <t>Other receivables</t>
  </si>
  <si>
    <t>Inventories</t>
  </si>
  <si>
    <t>Property and equipment - net</t>
  </si>
  <si>
    <t>Investments in unconsolidated affiliates</t>
  </si>
  <si>
    <t>Goodwill</t>
  </si>
  <si>
    <t>Other intangible assets - net</t>
  </si>
  <si>
    <t>Retirement benefits</t>
  </si>
  <si>
    <t>Deferred income taxes</t>
  </si>
  <si>
    <t>Other assets</t>
  </si>
  <si>
    <t>Assets held for sale</t>
  </si>
  <si>
    <t xml:space="preserve">     Total Assets</t>
  </si>
  <si>
    <t>Liabilities and Stockholders’ Equity</t>
  </si>
  <si>
    <t>Liabilities</t>
  </si>
  <si>
    <t>Short-term borrowings</t>
  </si>
  <si>
    <t>Short-term securitization borrowings</t>
  </si>
  <si>
    <t>Payables to unconsolidated affiliates</t>
  </si>
  <si>
    <t>Accounts payable and accrued expenses</t>
  </si>
  <si>
    <t>Long-term borrowings</t>
  </si>
  <si>
    <t>Retirement benefits and other liabilities</t>
  </si>
  <si>
    <t>Liabilities held for sale</t>
  </si>
  <si>
    <t xml:space="preserve">     Total liabilities</t>
  </si>
  <si>
    <r>
      <t>Redeemable noncontrolling interest</t>
    </r>
    <r>
      <rPr>
        <vertAlign val="superscript"/>
        <sz val="18"/>
        <rFont val="Verdana"/>
        <family val="2"/>
      </rPr>
      <t>(1)</t>
    </r>
  </si>
  <si>
    <t>Stockholders’ Equity</t>
  </si>
  <si>
    <t>Common stock, $1 par value</t>
  </si>
  <si>
    <t>Common stock in treasury</t>
  </si>
  <si>
    <t>Retained earnings</t>
  </si>
  <si>
    <t>Accumulated other comprehensive income (loss)</t>
  </si>
  <si>
    <t>Total Deere &amp; Company stockholders’ equity</t>
  </si>
  <si>
    <t>Noncontrolling interests</t>
  </si>
  <si>
    <t xml:space="preserve">     Total stockholders' equity</t>
  </si>
  <si>
    <t xml:space="preserve">     Total Liabilities and Stockholders’ Equity</t>
  </si>
  <si>
    <t xml:space="preserve">(1) In March 2016, the company acquired an 80 percent interest in Hagie Manufacturing Company, LLC.  The fair values assigned to the assets and liabilities related to the acquired entity included $14 million redeemable </t>
  </si>
  <si>
    <t xml:space="preserve">     noncontrolling interest.  </t>
  </si>
  <si>
    <r>
      <t>Balance Sheet</t>
    </r>
    <r>
      <rPr>
        <sz val="24"/>
        <rFont val="Verdana"/>
        <family val="2"/>
      </rPr>
      <t xml:space="preserve">  </t>
    </r>
    <r>
      <rPr>
        <i/>
        <sz val="16"/>
        <rFont val="Verdana"/>
        <family val="2"/>
      </rPr>
      <t>Deere &amp; Company Equipment Operations in millions of dollars except per share amounts for the fiscal year ended October</t>
    </r>
  </si>
  <si>
    <t>Cash Flows from Operating Activities</t>
  </si>
  <si>
    <t>Net income</t>
  </si>
  <si>
    <t>Adjustments to reconcile net income to net cash provided by operating activities:</t>
  </si>
  <si>
    <t>Provision for credit losses</t>
  </si>
  <si>
    <t>Provision for depreciation and amortization</t>
  </si>
  <si>
    <t>Impairment charges</t>
  </si>
  <si>
    <t>Loss (gain) on sale of businesses and unconsolidated affiliates</t>
  </si>
  <si>
    <t>Gain on remeasurement of previously held equity investment</t>
  </si>
  <si>
    <t>Undistributed earnings of Financial Services</t>
  </si>
  <si>
    <t>Provision (credit) for deferred income taxes</t>
  </si>
  <si>
    <t>Changes in assets and liabilities:</t>
  </si>
  <si>
    <t xml:space="preserve">     Trade, notes, and financing receivables related to sales</t>
  </si>
  <si>
    <t xml:space="preserve">     Inventories</t>
  </si>
  <si>
    <t xml:space="preserve">     Accounts payable and accrued expenses</t>
  </si>
  <si>
    <r>
      <t xml:space="preserve">     Accrued income taxes payable/receivable</t>
    </r>
    <r>
      <rPr>
        <vertAlign val="superscript"/>
        <sz val="18"/>
        <rFont val="Verdana"/>
        <family val="2"/>
      </rPr>
      <t>(2)</t>
    </r>
  </si>
  <si>
    <t xml:space="preserve">     Retirement benefits</t>
  </si>
  <si>
    <r>
      <t xml:space="preserve">Other </t>
    </r>
    <r>
      <rPr>
        <vertAlign val="superscript"/>
        <sz val="18"/>
        <rFont val="Verdana"/>
        <family val="2"/>
      </rPr>
      <t>(2)</t>
    </r>
  </si>
  <si>
    <t xml:space="preserve">     Net cash provided by operating activities</t>
  </si>
  <si>
    <t>Cash Flows from Investing Activities</t>
  </si>
  <si>
    <t>Acquisitions of businesses, net of cash acquired</t>
  </si>
  <si>
    <t>Purchases of property and equipment</t>
  </si>
  <si>
    <t>Collateral on derivatives - net</t>
  </si>
  <si>
    <t>Proceeds from maturities and sales of marketable securities</t>
  </si>
  <si>
    <t>Proceeds from sales of businesses and unconsolidated affiliates, net of cash sold</t>
  </si>
  <si>
    <t>Purchases of marketable securities</t>
  </si>
  <si>
    <t xml:space="preserve">     Net cash used for investing activities</t>
  </si>
  <si>
    <t>Cash Flows from Financing Activities</t>
  </si>
  <si>
    <t>Increase (decrease) in total short-term borrowings</t>
  </si>
  <si>
    <t>Change in intercompany receivables/payables</t>
  </si>
  <si>
    <t>Proceeds from long-term borrowings</t>
  </si>
  <si>
    <t>Payments of long-term borrowings</t>
  </si>
  <si>
    <t>Proceeds from issuance of common stock</t>
  </si>
  <si>
    <t>Repurchases of common stock</t>
  </si>
  <si>
    <t>Dividends paid</t>
  </si>
  <si>
    <r>
      <t xml:space="preserve">     Net cash provided by (used for) financing activities</t>
    </r>
    <r>
      <rPr>
        <vertAlign val="superscript"/>
        <sz val="18"/>
        <rFont val="Verdana"/>
        <family val="2"/>
      </rPr>
      <t>(1)</t>
    </r>
  </si>
  <si>
    <r>
      <t xml:space="preserve">Effect of Exchange Rate Changes on Cash, Cash Equivalents and Restricted Cash </t>
    </r>
    <r>
      <rPr>
        <vertAlign val="superscript"/>
        <sz val="18"/>
        <rFont val="Verdana"/>
        <family val="2"/>
      </rPr>
      <t>(2)</t>
    </r>
  </si>
  <si>
    <r>
      <t xml:space="preserve">Net Increase (Decrease) in Cash, Cash Equivalents and Restricted Cash </t>
    </r>
    <r>
      <rPr>
        <vertAlign val="superscript"/>
        <sz val="18"/>
        <rFont val="Verdana"/>
        <family val="2"/>
      </rPr>
      <t>(2)</t>
    </r>
  </si>
  <si>
    <r>
      <t xml:space="preserve">Cash, Cash Equivalents and Restricted Cash at Beginning of Year </t>
    </r>
    <r>
      <rPr>
        <vertAlign val="superscript"/>
        <sz val="18"/>
        <rFont val="Verdana"/>
        <family val="2"/>
      </rPr>
      <t>(2)</t>
    </r>
  </si>
  <si>
    <r>
      <t xml:space="preserve">Cash, Cash Equivalents and Restricted Cash at End of Year </t>
    </r>
    <r>
      <rPr>
        <vertAlign val="superscript"/>
        <sz val="18"/>
        <rFont val="Verdana"/>
        <family val="2"/>
      </rPr>
      <t>(2)</t>
    </r>
  </si>
  <si>
    <t>(1) In 3Q 2017, the company adopted Financial Accounting Standard Board (FASB) Accounting Standards Update (ASU) No. 2016-09, Improvements to Employee Share-Based Payment Accounting; 2011-2016 were restated for this change.</t>
  </si>
  <si>
    <t>(2) In 1Q 2019, the company adopted FASB ASU No. 2016-18, Restricted Cash. The ASU was adopted using a retrospective transition approach resulting in an update to the 2017 and 2018 supplemental consolidating statement of cash flows.</t>
  </si>
  <si>
    <t xml:space="preserve"> </t>
  </si>
  <si>
    <r>
      <t>Cash Flow</t>
    </r>
    <r>
      <rPr>
        <i/>
        <sz val="14"/>
        <rFont val="Verdana"/>
        <family val="2"/>
      </rPr>
      <t xml:space="preserve">  </t>
    </r>
    <r>
      <rPr>
        <i/>
        <sz val="16"/>
        <rFont val="Verdana"/>
        <family val="2"/>
      </rPr>
      <t>Deere &amp; Company Equipment Operations in millions of dollars for the fiscal year ended October</t>
    </r>
  </si>
  <si>
    <r>
      <t>Depreciation</t>
    </r>
    <r>
      <rPr>
        <b/>
        <vertAlign val="superscript"/>
        <sz val="24"/>
        <rFont val="Verdana"/>
        <family val="2"/>
      </rPr>
      <t>(1)</t>
    </r>
    <r>
      <rPr>
        <b/>
        <sz val="24"/>
        <rFont val="Verdana"/>
        <family val="2"/>
      </rPr>
      <t xml:space="preserve"> and Amortization Expense</t>
    </r>
    <r>
      <rPr>
        <b/>
        <vertAlign val="superscript"/>
        <sz val="24"/>
        <rFont val="Verdana"/>
        <family val="2"/>
      </rPr>
      <t xml:space="preserve">(2) </t>
    </r>
    <r>
      <rPr>
        <i/>
        <sz val="16"/>
        <rFont val="Verdana"/>
        <family val="2"/>
      </rPr>
      <t>(millions of dollars)</t>
    </r>
  </si>
  <si>
    <t>Operating Segments:</t>
  </si>
  <si>
    <t>Agriculture &amp; turf</t>
  </si>
  <si>
    <r>
      <t>Production &amp; precision ag</t>
    </r>
    <r>
      <rPr>
        <vertAlign val="superscript"/>
        <sz val="18"/>
        <rFont val="Verdana"/>
        <family val="2"/>
      </rPr>
      <t>(3)</t>
    </r>
  </si>
  <si>
    <r>
      <t>Small ag &amp; turf</t>
    </r>
    <r>
      <rPr>
        <vertAlign val="superscript"/>
        <sz val="18"/>
        <rFont val="Verdana"/>
        <family val="2"/>
      </rPr>
      <t>(3)</t>
    </r>
  </si>
  <si>
    <t>Construction and forestry</t>
  </si>
  <si>
    <t>Financial services</t>
  </si>
  <si>
    <t xml:space="preserve">    Total</t>
  </si>
  <si>
    <t>(1) Includes depreciation for equipment on operating leases.</t>
  </si>
  <si>
    <t>(2) SBU allocation reflects the adoption of ASC 280, Segment Reporting (FASB statement No. 131).</t>
  </si>
  <si>
    <t xml:space="preserve">(3) Beginning in fiscal year 2021, the company implemented a new operating model and reporting structure. With this change, the company’s agriculture and turf operations were </t>
  </si>
  <si>
    <t xml:space="preserve">     divided into two new segments, production &amp; precision ag and small ag &amp; turf.  For informational purposes only, segment financial data for fiscal years 2020 and 2019 have been </t>
  </si>
  <si>
    <t xml:space="preserve">     provided.  </t>
  </si>
  <si>
    <r>
      <t>Capital Additions</t>
    </r>
    <r>
      <rPr>
        <b/>
        <sz val="14"/>
        <rFont val="Verdana"/>
        <family val="2"/>
      </rPr>
      <t xml:space="preserve"> </t>
    </r>
    <r>
      <rPr>
        <i/>
        <sz val="16"/>
        <rFont val="Verdana"/>
        <family val="2"/>
      </rPr>
      <t>(millions of dollars)</t>
    </r>
  </si>
  <si>
    <t xml:space="preserve">(1) Beginning in fiscal year 2021, the company implemented a new operating model and reporting structure. With this change, the company’s agriculture and turf operations were </t>
  </si>
  <si>
    <t>Number of Employees</t>
  </si>
  <si>
    <t>United States and Canada:</t>
  </si>
  <si>
    <t>Outside United States and Canada:</t>
  </si>
  <si>
    <t xml:space="preserve">     Total Worldwide</t>
  </si>
  <si>
    <t>Financial Services' equity</t>
  </si>
  <si>
    <r>
      <t xml:space="preserve">Income Statement </t>
    </r>
    <r>
      <rPr>
        <i/>
        <sz val="9"/>
        <rFont val="Verdana"/>
        <family val="2"/>
      </rPr>
      <t xml:space="preserve"> </t>
    </r>
    <r>
      <rPr>
        <i/>
        <sz val="16"/>
        <rFont val="Verdana"/>
        <family val="2"/>
      </rPr>
      <t>Deere &amp; Company Equipment Operations for the fiscal year ended October</t>
    </r>
    <r>
      <rPr>
        <i/>
        <vertAlign val="superscript"/>
        <sz val="16"/>
        <rFont val="Verdana"/>
        <family val="2"/>
      </rPr>
      <t xml:space="preserve"> </t>
    </r>
    <r>
      <rPr>
        <i/>
        <sz val="16"/>
        <rFont val="Verdana"/>
        <family val="2"/>
      </rPr>
      <t>(in millions of dollars except for shares outstanding and per share amounts)</t>
    </r>
  </si>
  <si>
    <t>Income before Income Taxes</t>
  </si>
  <si>
    <t>Income after Income Taxes</t>
  </si>
  <si>
    <t>Equity in income (loss) of unconsolidated affiliates</t>
  </si>
  <si>
    <t>Receivables from Financial Services</t>
  </si>
  <si>
    <t>(1) 2013-2018 is Net Sales only. With the adoption of the new Revenue Recognition Accounting Standard, 2019-2023 include Net Sales &amp; Revenues.</t>
  </si>
  <si>
    <t>In February 2022, the company acquired majority ownership in Kreisel Electric Inc. (Kreisel). The transaction includes a call option to purchase the remaining ownership in Kreisel in 2027.</t>
  </si>
  <si>
    <t xml:space="preserve">The minority interest holders have also have a put option that would require the company to purchase the holder's ownership interest in 2027. The put and call options cannot be separated from the noncontrolling interest. </t>
  </si>
  <si>
    <t>Due to the redemption features, the minority interest is classified as redeemable noncontrolling interest in our consolidated balance sheet.</t>
  </si>
  <si>
    <r>
      <t>Income Statement % to Net Sales</t>
    </r>
    <r>
      <rPr>
        <i/>
        <sz val="16"/>
        <rFont val="Verdana"/>
        <family val="2"/>
      </rPr>
      <t xml:space="preserve">  Deere &amp; Company Equipment Operations for the fiscal year ended October</t>
    </r>
  </si>
  <si>
    <r>
      <t>Book value per share</t>
    </r>
    <r>
      <rPr>
        <vertAlign val="superscript"/>
        <sz val="18"/>
        <rFont val="Verdana"/>
        <family val="2"/>
      </rPr>
      <t>(2)</t>
    </r>
  </si>
  <si>
    <t>Decrease (increase) in investment in Financial services</t>
  </si>
  <si>
    <t xml:space="preserve">Collections of receivables from unconsolidated affiliates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</si>
</sst>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0.0%"/>
    <numFmt numFmtId="167" formatCode="0.0_);\(0.0\)"/>
    <numFmt numFmtId="168" formatCode="##,##0.0_)"/>
    <numFmt numFmtId="169" formatCode="#,###.0_);\(#,###.0\)"/>
    <numFmt numFmtId="170" formatCode="##,##0_)"/>
    <numFmt numFmtId="171" formatCode="&quot;$&quot;#,##0"/>
    <numFmt numFmtId="172" formatCode="##,##0_);\(##,##0\)"/>
    <numFmt numFmtId="173" formatCode="##,##0.0_);[Red]\(##,##0.0\)"/>
    <numFmt numFmtId="174" formatCode="#,###_);\(#,###\)"/>
    <numFmt numFmtId="175" formatCode="##,##0_);[Red]\(##,##0\)"/>
    <numFmt numFmtId="176" formatCode="#,##0.0_);[Red]\(#,##0.0\)"/>
    <numFmt numFmtId="177" formatCode="&quot;$&quot;##,##0_);&quot;$&quot;\(##,##0\)"/>
    <numFmt numFmtId="178" formatCode="##,##0_);\(#,##0\)"/>
    <numFmt numFmtId="179" formatCode="##,##0.0_);\(#,##0.0\)"/>
    <numFmt numFmtId="180" formatCode="&quot;$&quot;##,##0.0_);&quot;$&quot;\(##,##0.0\)"/>
    <numFmt numFmtId="181" formatCode="&quot;$&quot;#,##0;[Red]\(&quot;$&quot;#,##0\)"/>
    <numFmt numFmtId="182" formatCode="&quot;$&quot;#,##0.00000_);\(&quot;$&quot;#,##0.00000\)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name val="Verdana"/>
      <family val="2"/>
    </font>
    <font>
      <i/>
      <sz val="9"/>
      <name val="Verdana"/>
      <family val="2"/>
    </font>
    <font>
      <i/>
      <sz val="16"/>
      <name val="Verdana"/>
      <family val="2"/>
    </font>
    <font>
      <i/>
      <vertAlign val="superscript"/>
      <sz val="16"/>
      <name val="Verdana"/>
      <family val="2"/>
    </font>
    <font>
      <sz val="18"/>
      <name val="Verdana"/>
      <family val="2"/>
    </font>
    <font>
      <sz val="9"/>
      <name val="Geneva"/>
    </font>
    <font>
      <sz val="18"/>
      <color theme="1"/>
      <name val="Verdana"/>
      <family val="2"/>
    </font>
    <font>
      <sz val="18"/>
      <color rgb="FFFF0000"/>
      <name val="Verdana"/>
      <family val="2"/>
    </font>
    <font>
      <vertAlign val="superscript"/>
      <sz val="18"/>
      <name val="Verdana"/>
      <family val="2"/>
    </font>
    <font>
      <sz val="14"/>
      <name val="Verdana"/>
      <family val="2"/>
    </font>
    <font>
      <sz val="10"/>
      <name val="Verdana"/>
      <family val="2"/>
    </font>
    <font>
      <sz val="9"/>
      <name val="Verdana"/>
      <family val="2"/>
    </font>
    <font>
      <sz val="16"/>
      <color rgb="FFFF0000"/>
      <name val="Verdana"/>
      <family val="2"/>
    </font>
    <font>
      <sz val="16"/>
      <name val="Verdana"/>
      <family val="2"/>
    </font>
    <font>
      <i/>
      <sz val="12"/>
      <name val="Verdana"/>
      <family val="2"/>
    </font>
    <font>
      <i/>
      <sz val="18"/>
      <color theme="1" tint="0.499984740745262"/>
      <name val="Verdana"/>
      <family val="2"/>
    </font>
    <font>
      <b/>
      <sz val="18"/>
      <name val="Verdana"/>
      <family val="2"/>
    </font>
    <font>
      <i/>
      <sz val="18"/>
      <name val="Verdana"/>
      <family val="2"/>
    </font>
    <font>
      <i/>
      <sz val="14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sz val="18"/>
      <color theme="1" tint="0.499984740745262"/>
      <name val="Verdana"/>
      <family val="2"/>
    </font>
    <font>
      <sz val="24"/>
      <name val="Verdana"/>
      <family val="2"/>
    </font>
    <font>
      <i/>
      <sz val="16"/>
      <color rgb="FFFF0000"/>
      <name val="Verdana"/>
      <family val="2"/>
    </font>
    <font>
      <sz val="12"/>
      <name val="Verdana"/>
      <family val="2"/>
    </font>
    <font>
      <sz val="10"/>
      <color indexed="8"/>
      <name val="Verdana"/>
      <family val="2"/>
    </font>
    <font>
      <b/>
      <vertAlign val="superscript"/>
      <sz val="24"/>
      <name val="Verdana"/>
      <family val="2"/>
    </font>
    <font>
      <b/>
      <sz val="14"/>
      <name val="Verdana"/>
      <family val="2"/>
    </font>
    <font>
      <b/>
      <sz val="18"/>
      <color indexed="12"/>
      <name val="Verdana"/>
      <family val="2"/>
    </font>
    <font>
      <sz val="18"/>
      <color theme="0" tint="-0.499984740745262"/>
      <name val="Verdana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58">
    <xf numFmtId="0" fontId="0" fillId="0" borderId="0" xfId="0"/>
    <xf numFmtId="0" fontId="2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right"/>
    </xf>
    <xf numFmtId="1" fontId="6" fillId="0" borderId="2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5" fontId="6" fillId="0" borderId="0" xfId="2" applyNumberFormat="1" applyFont="1" applyFill="1" applyAlignment="1">
      <alignment vertical="center"/>
    </xf>
    <xf numFmtId="5" fontId="8" fillId="0" borderId="0" xfId="2" applyNumberFormat="1" applyFont="1" applyFill="1" applyAlignment="1">
      <alignment vertical="center"/>
    </xf>
    <xf numFmtId="37" fontId="8" fillId="0" borderId="0" xfId="2" applyNumberFormat="1" applyFont="1" applyFill="1" applyAlignment="1">
      <alignment vertical="center"/>
    </xf>
    <xf numFmtId="0" fontId="6" fillId="0" borderId="2" xfId="0" applyFont="1" applyBorder="1" applyAlignment="1">
      <alignment vertical="center"/>
    </xf>
    <xf numFmtId="37" fontId="8" fillId="0" borderId="2" xfId="2" applyNumberFormat="1" applyFont="1" applyFill="1" applyBorder="1" applyAlignment="1">
      <alignment vertical="center"/>
    </xf>
    <xf numFmtId="164" fontId="9" fillId="0" borderId="2" xfId="2" applyNumberFormat="1" applyFont="1" applyFill="1" applyBorder="1" applyAlignment="1">
      <alignment vertical="center"/>
    </xf>
    <xf numFmtId="37" fontId="8" fillId="0" borderId="0" xfId="2" applyNumberFormat="1" applyFont="1" applyFill="1" applyBorder="1" applyAlignment="1">
      <alignment vertical="center"/>
    </xf>
    <xf numFmtId="37" fontId="8" fillId="0" borderId="1" xfId="2" applyNumberFormat="1" applyFont="1" applyFill="1" applyBorder="1" applyAlignment="1">
      <alignment vertical="center"/>
    </xf>
    <xf numFmtId="165" fontId="8" fillId="0" borderId="0" xfId="1" applyNumberFormat="1" applyFont="1" applyFill="1" applyBorder="1" applyAlignment="1">
      <alignment vertical="center"/>
    </xf>
    <xf numFmtId="5" fontId="8" fillId="0" borderId="2" xfId="2" applyNumberFormat="1" applyFont="1" applyFill="1" applyBorder="1" applyAlignment="1">
      <alignment vertical="center"/>
    </xf>
    <xf numFmtId="40" fontId="6" fillId="0" borderId="0" xfId="2" applyNumberFormat="1" applyFont="1" applyFill="1" applyAlignment="1">
      <alignment vertical="center"/>
    </xf>
    <xf numFmtId="37" fontId="6" fillId="0" borderId="2" xfId="2" applyNumberFormat="1" applyFont="1" applyFill="1" applyBorder="1" applyAlignment="1">
      <alignment vertical="center"/>
    </xf>
    <xf numFmtId="7" fontId="6" fillId="0" borderId="0" xfId="2" applyNumberFormat="1" applyFont="1" applyFill="1" applyBorder="1" applyAlignment="1">
      <alignment vertical="center"/>
    </xf>
    <xf numFmtId="7" fontId="6" fillId="0" borderId="1" xfId="2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1" xfId="4" applyFont="1" applyBorder="1"/>
    <xf numFmtId="0" fontId="13" fillId="0" borderId="1" xfId="4" applyFont="1" applyBorder="1"/>
    <xf numFmtId="0" fontId="13" fillId="0" borderId="0" xfId="4" applyFont="1"/>
    <xf numFmtId="0" fontId="6" fillId="0" borderId="2" xfId="4" applyFont="1" applyBorder="1" applyAlignment="1">
      <alignment vertical="center"/>
    </xf>
    <xf numFmtId="0" fontId="6" fillId="0" borderId="1" xfId="4" applyFont="1" applyBorder="1" applyAlignment="1">
      <alignment vertical="center"/>
    </xf>
    <xf numFmtId="0" fontId="6" fillId="0" borderId="2" xfId="4" applyFont="1" applyBorder="1" applyAlignment="1">
      <alignment horizontal="center" vertical="center"/>
    </xf>
    <xf numFmtId="0" fontId="6" fillId="0" borderId="0" xfId="4" applyFont="1" applyAlignment="1">
      <alignment vertical="center"/>
    </xf>
    <xf numFmtId="166" fontId="6" fillId="0" borderId="0" xfId="5" applyNumberFormat="1" applyFont="1" applyFill="1" applyAlignment="1">
      <alignment vertical="center"/>
    </xf>
    <xf numFmtId="0" fontId="13" fillId="0" borderId="0" xfId="4" applyFont="1" applyAlignment="1">
      <alignment vertical="center"/>
    </xf>
    <xf numFmtId="167" fontId="6" fillId="0" borderId="0" xfId="6" applyNumberFormat="1" applyFont="1" applyFill="1" applyAlignment="1">
      <alignment vertical="center"/>
    </xf>
    <xf numFmtId="167" fontId="6" fillId="0" borderId="2" xfId="6" applyNumberFormat="1" applyFont="1" applyFill="1" applyBorder="1" applyAlignment="1">
      <alignment vertical="center"/>
    </xf>
    <xf numFmtId="167" fontId="6" fillId="0" borderId="1" xfId="6" applyNumberFormat="1" applyFont="1" applyFill="1" applyBorder="1" applyAlignment="1">
      <alignment vertical="center"/>
    </xf>
    <xf numFmtId="167" fontId="6" fillId="0" borderId="0" xfId="6" applyNumberFormat="1" applyFont="1" applyFill="1" applyBorder="1" applyAlignment="1">
      <alignment vertical="center"/>
    </xf>
    <xf numFmtId="0" fontId="6" fillId="0" borderId="1" xfId="4" applyFont="1" applyBorder="1" applyAlignment="1">
      <alignment vertical="center" wrapText="1"/>
    </xf>
    <xf numFmtId="0" fontId="16" fillId="0" borderId="0" xfId="4" applyFont="1" applyAlignment="1">
      <alignment vertical="center"/>
    </xf>
    <xf numFmtId="0" fontId="11" fillId="0" borderId="0" xfId="4" applyFont="1" applyAlignment="1">
      <alignment vertical="center"/>
    </xf>
    <xf numFmtId="0" fontId="2" fillId="0" borderId="1" xfId="4" applyFont="1" applyBorder="1" applyAlignment="1">
      <alignment vertical="center"/>
    </xf>
    <xf numFmtId="0" fontId="11" fillId="0" borderId="1" xfId="4" applyFont="1" applyBorder="1" applyAlignment="1">
      <alignment vertical="center"/>
    </xf>
    <xf numFmtId="1" fontId="6" fillId="0" borderId="1" xfId="4" applyNumberFormat="1" applyFont="1" applyBorder="1" applyAlignment="1">
      <alignment horizontal="center" vertical="center"/>
    </xf>
    <xf numFmtId="6" fontId="6" fillId="0" borderId="0" xfId="4" applyNumberFormat="1" applyFont="1" applyAlignment="1">
      <alignment vertical="center"/>
    </xf>
    <xf numFmtId="37" fontId="17" fillId="0" borderId="0" xfId="6" applyNumberFormat="1" applyFont="1" applyFill="1" applyAlignment="1">
      <alignment vertical="center"/>
    </xf>
    <xf numFmtId="37" fontId="6" fillId="0" borderId="0" xfId="6" applyNumberFormat="1" applyFont="1" applyFill="1" applyAlignment="1">
      <alignment vertical="center"/>
    </xf>
    <xf numFmtId="6" fontId="6" fillId="0" borderId="2" xfId="4" applyNumberFormat="1" applyFont="1" applyBorder="1" applyAlignment="1">
      <alignment vertical="center"/>
    </xf>
    <xf numFmtId="0" fontId="4" fillId="0" borderId="0" xfId="4" applyFont="1" applyAlignment="1">
      <alignment vertical="center"/>
    </xf>
    <xf numFmtId="166" fontId="6" fillId="0" borderId="2" xfId="3" applyNumberFormat="1" applyFont="1" applyFill="1" applyBorder="1" applyAlignment="1">
      <alignment vertical="center"/>
    </xf>
    <xf numFmtId="0" fontId="18" fillId="0" borderId="0" xfId="4" applyFont="1" applyAlignment="1">
      <alignment vertical="center"/>
    </xf>
    <xf numFmtId="0" fontId="4" fillId="0" borderId="0" xfId="4" applyFont="1"/>
    <xf numFmtId="0" fontId="6" fillId="0" borderId="0" xfId="4" applyFont="1"/>
    <xf numFmtId="0" fontId="6" fillId="0" borderId="0" xfId="4" applyFont="1" applyAlignment="1">
      <alignment horizontal="center" vertical="center"/>
    </xf>
    <xf numFmtId="0" fontId="6" fillId="0" borderId="2" xfId="4" applyFont="1" applyBorder="1" applyAlignment="1">
      <alignment horizontal="right" vertical="center"/>
    </xf>
    <xf numFmtId="0" fontId="6" fillId="0" borderId="0" xfId="4" applyFont="1" applyAlignment="1">
      <alignment horizontal="left" vertical="center"/>
    </xf>
    <xf numFmtId="3" fontId="6" fillId="0" borderId="0" xfId="4" applyNumberFormat="1" applyFont="1" applyAlignment="1">
      <alignment vertical="center"/>
    </xf>
    <xf numFmtId="168" fontId="6" fillId="0" borderId="0" xfId="4" applyNumberFormat="1" applyFont="1" applyAlignment="1">
      <alignment vertical="center"/>
    </xf>
    <xf numFmtId="169" fontId="6" fillId="0" borderId="0" xfId="4" applyNumberFormat="1" applyFont="1" applyAlignment="1">
      <alignment vertical="center"/>
    </xf>
    <xf numFmtId="39" fontId="6" fillId="0" borderId="0" xfId="4" applyNumberFormat="1" applyFont="1" applyAlignment="1">
      <alignment vertical="center"/>
    </xf>
    <xf numFmtId="0" fontId="6" fillId="0" borderId="1" xfId="4" applyFont="1" applyBorder="1" applyAlignment="1">
      <alignment horizontal="left" vertical="center"/>
    </xf>
    <xf numFmtId="3" fontId="6" fillId="0" borderId="1" xfId="4" applyNumberFormat="1" applyFont="1" applyBorder="1" applyAlignment="1">
      <alignment vertical="center"/>
    </xf>
    <xf numFmtId="0" fontId="14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0" fontId="18" fillId="0" borderId="2" xfId="4" applyFont="1" applyBorder="1" applyAlignment="1">
      <alignment vertical="center"/>
    </xf>
    <xf numFmtId="0" fontId="18" fillId="0" borderId="2" xfId="4" applyFont="1" applyBorder="1" applyAlignment="1">
      <alignment horizontal="centerContinuous" vertical="center"/>
    </xf>
    <xf numFmtId="0" fontId="6" fillId="0" borderId="2" xfId="4" applyFont="1" applyBorder="1" applyAlignment="1">
      <alignment horizontal="centerContinuous" vertical="center"/>
    </xf>
    <xf numFmtId="0" fontId="7" fillId="2" borderId="0" xfId="4" applyFill="1"/>
    <xf numFmtId="0" fontId="6" fillId="0" borderId="1" xfId="4" applyFont="1" applyBorder="1" applyAlignment="1">
      <alignment horizontal="center" vertical="center"/>
    </xf>
    <xf numFmtId="170" fontId="6" fillId="0" borderId="0" xfId="4" applyNumberFormat="1" applyFont="1" applyAlignment="1">
      <alignment vertical="center"/>
    </xf>
    <xf numFmtId="170" fontId="6" fillId="0" borderId="1" xfId="4" applyNumberFormat="1" applyFont="1" applyBorder="1" applyAlignment="1">
      <alignment vertical="center"/>
    </xf>
    <xf numFmtId="6" fontId="6" fillId="0" borderId="1" xfId="4" applyNumberFormat="1" applyFont="1" applyBorder="1" applyAlignment="1">
      <alignment vertical="center"/>
    </xf>
    <xf numFmtId="8" fontId="6" fillId="0" borderId="0" xfId="4" applyNumberFormat="1" applyFont="1" applyAlignment="1">
      <alignment vertical="center"/>
    </xf>
    <xf numFmtId="0" fontId="2" fillId="0" borderId="0" xfId="4" applyFont="1" applyAlignment="1">
      <alignment vertical="center"/>
    </xf>
    <xf numFmtId="0" fontId="4" fillId="0" borderId="1" xfId="4" applyFont="1" applyBorder="1" applyAlignment="1">
      <alignment vertical="center"/>
    </xf>
    <xf numFmtId="165" fontId="6" fillId="0" borderId="0" xfId="7" applyNumberFormat="1" applyFont="1" applyFill="1" applyBorder="1" applyAlignment="1">
      <alignment vertical="center"/>
    </xf>
    <xf numFmtId="1" fontId="6" fillId="0" borderId="2" xfId="4" applyNumberFormat="1" applyFont="1" applyBorder="1" applyAlignment="1">
      <alignment horizontal="center" vertical="center"/>
    </xf>
    <xf numFmtId="171" fontId="6" fillId="0" borderId="0" xfId="4" applyNumberFormat="1" applyFont="1" applyAlignment="1">
      <alignment vertical="center"/>
    </xf>
    <xf numFmtId="172" fontId="6" fillId="0" borderId="0" xfId="4" applyNumberFormat="1" applyFont="1" applyAlignment="1">
      <alignment vertical="center"/>
    </xf>
    <xf numFmtId="172" fontId="6" fillId="0" borderId="1" xfId="4" applyNumberFormat="1" applyFont="1" applyBorder="1" applyAlignment="1">
      <alignment vertical="center"/>
    </xf>
    <xf numFmtId="0" fontId="6" fillId="0" borderId="1" xfId="4" applyFont="1" applyBorder="1"/>
    <xf numFmtId="165" fontId="6" fillId="0" borderId="0" xfId="7" applyNumberFormat="1" applyFont="1" applyFill="1" applyAlignment="1">
      <alignment vertical="center"/>
    </xf>
    <xf numFmtId="38" fontId="6" fillId="0" borderId="0" xfId="4" applyNumberFormat="1" applyFont="1" applyAlignment="1">
      <alignment vertical="center"/>
    </xf>
    <xf numFmtId="174" fontId="6" fillId="0" borderId="0" xfId="4" applyNumberFormat="1" applyFont="1" applyAlignment="1">
      <alignment vertical="center"/>
    </xf>
    <xf numFmtId="175" fontId="6" fillId="0" borderId="2" xfId="4" applyNumberFormat="1" applyFont="1" applyBorder="1" applyAlignment="1">
      <alignment vertical="center"/>
    </xf>
    <xf numFmtId="8" fontId="6" fillId="0" borderId="1" xfId="4" applyNumberFormat="1" applyFont="1" applyBorder="1" applyAlignment="1">
      <alignment vertical="center"/>
    </xf>
    <xf numFmtId="176" fontId="6" fillId="0" borderId="0" xfId="4" applyNumberFormat="1" applyFont="1"/>
    <xf numFmtId="165" fontId="6" fillId="0" borderId="0" xfId="4" applyNumberFormat="1" applyFont="1" applyAlignment="1">
      <alignment vertical="center"/>
    </xf>
    <xf numFmtId="38" fontId="6" fillId="0" borderId="2" xfId="4" applyNumberFormat="1" applyFont="1" applyBorder="1" applyAlignment="1">
      <alignment vertical="center"/>
    </xf>
    <xf numFmtId="173" fontId="6" fillId="0" borderId="0" xfId="4" applyNumberFormat="1" applyFont="1" applyAlignment="1">
      <alignment vertical="center"/>
    </xf>
    <xf numFmtId="0" fontId="2" fillId="0" borderId="1" xfId="4" applyFont="1" applyBorder="1" applyAlignment="1">
      <alignment horizontal="left"/>
    </xf>
    <xf numFmtId="0" fontId="18" fillId="0" borderId="2" xfId="4" applyFont="1" applyBorder="1" applyAlignment="1">
      <alignment horizontal="left" vertical="center"/>
    </xf>
    <xf numFmtId="0" fontId="18" fillId="0" borderId="2" xfId="4" applyFont="1" applyBorder="1" applyAlignment="1">
      <alignment horizontal="right" vertical="center"/>
    </xf>
    <xf numFmtId="0" fontId="18" fillId="0" borderId="0" xfId="4" applyFont="1" applyAlignment="1">
      <alignment horizontal="right" vertical="center"/>
    </xf>
    <xf numFmtId="178" fontId="6" fillId="0" borderId="0" xfId="4" applyNumberFormat="1" applyFont="1" applyAlignment="1">
      <alignment vertical="center"/>
    </xf>
    <xf numFmtId="0" fontId="6" fillId="0" borderId="2" xfId="4" applyFont="1" applyBorder="1" applyAlignment="1">
      <alignment horizontal="left" vertical="center"/>
    </xf>
    <xf numFmtId="178" fontId="6" fillId="0" borderId="2" xfId="4" applyNumberFormat="1" applyFont="1" applyBorder="1" applyAlignment="1">
      <alignment vertical="center"/>
    </xf>
    <xf numFmtId="5" fontId="6" fillId="0" borderId="1" xfId="4" applyNumberFormat="1" applyFont="1" applyBorder="1" applyAlignment="1">
      <alignment vertical="center"/>
    </xf>
    <xf numFmtId="0" fontId="6" fillId="0" borderId="0" xfId="4" applyFont="1" applyAlignment="1">
      <alignment horizontal="left"/>
    </xf>
    <xf numFmtId="180" fontId="6" fillId="0" borderId="0" xfId="4" applyNumberFormat="1" applyFont="1"/>
    <xf numFmtId="0" fontId="25" fillId="0" borderId="0" xfId="4" applyFont="1"/>
    <xf numFmtId="0" fontId="15" fillId="0" borderId="0" xfId="4" applyFont="1"/>
    <xf numFmtId="0" fontId="19" fillId="0" borderId="0" xfId="4" applyFont="1"/>
    <xf numFmtId="0" fontId="12" fillId="0" borderId="0" xfId="4" applyFont="1" applyAlignment="1">
      <alignment horizontal="left"/>
    </xf>
    <xf numFmtId="0" fontId="26" fillId="0" borderId="0" xfId="4" applyFont="1" applyAlignment="1">
      <alignment horizontal="left"/>
    </xf>
    <xf numFmtId="0" fontId="27" fillId="0" borderId="0" xfId="4" applyFont="1" applyAlignment="1">
      <alignment horizontal="left"/>
    </xf>
    <xf numFmtId="0" fontId="27" fillId="0" borderId="0" xfId="4" applyFont="1"/>
    <xf numFmtId="179" fontId="6" fillId="0" borderId="0" xfId="4" applyNumberFormat="1" applyFont="1" applyAlignment="1">
      <alignment vertical="center"/>
    </xf>
    <xf numFmtId="44" fontId="6" fillId="0" borderId="0" xfId="6" applyFont="1" applyFill="1" applyAlignment="1">
      <alignment horizontal="left" vertical="center"/>
    </xf>
    <xf numFmtId="44" fontId="6" fillId="0" borderId="0" xfId="6" applyFont="1" applyFill="1" applyAlignment="1">
      <alignment vertical="center"/>
    </xf>
    <xf numFmtId="37" fontId="23" fillId="0" borderId="0" xfId="4" applyNumberFormat="1" applyFont="1" applyAlignment="1">
      <alignment vertical="center"/>
    </xf>
    <xf numFmtId="37" fontId="6" fillId="0" borderId="0" xfId="4" applyNumberFormat="1" applyFont="1" applyAlignment="1">
      <alignment vertical="center"/>
    </xf>
    <xf numFmtId="0" fontId="4" fillId="0" borderId="0" xfId="4" applyFont="1" applyAlignment="1">
      <alignment horizontal="left" vertical="center"/>
    </xf>
    <xf numFmtId="181" fontId="6" fillId="0" borderId="0" xfId="4" applyNumberFormat="1" applyFont="1" applyAlignment="1">
      <alignment vertical="center"/>
    </xf>
    <xf numFmtId="0" fontId="23" fillId="0" borderId="0" xfId="4" applyFont="1" applyAlignment="1">
      <alignment vertical="center"/>
    </xf>
    <xf numFmtId="181" fontId="6" fillId="0" borderId="2" xfId="4" applyNumberFormat="1" applyFont="1" applyBorder="1" applyAlignment="1">
      <alignment vertical="center"/>
    </xf>
    <xf numFmtId="0" fontId="18" fillId="0" borderId="1" xfId="4" applyFont="1" applyBorder="1" applyAlignment="1">
      <alignment vertical="center"/>
    </xf>
    <xf numFmtId="3" fontId="6" fillId="0" borderId="2" xfId="4" applyNumberFormat="1" applyFont="1" applyBorder="1" applyAlignment="1">
      <alignment vertical="center"/>
    </xf>
    <xf numFmtId="0" fontId="30" fillId="0" borderId="0" xfId="4" applyFont="1"/>
    <xf numFmtId="3" fontId="6" fillId="0" borderId="3" xfId="4" applyNumberFormat="1" applyFont="1" applyBorder="1" applyAlignment="1">
      <alignment vertical="center"/>
    </xf>
    <xf numFmtId="37" fontId="8" fillId="0" borderId="0" xfId="1" applyNumberFormat="1" applyFont="1" applyFill="1" applyBorder="1" applyAlignment="1">
      <alignment vertical="center"/>
    </xf>
    <xf numFmtId="0" fontId="6" fillId="3" borderId="0" xfId="4" applyFont="1" applyFill="1" applyAlignment="1">
      <alignment vertical="center"/>
    </xf>
    <xf numFmtId="1" fontId="18" fillId="0" borderId="2" xfId="4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165" fontId="6" fillId="0" borderId="0" xfId="1" applyNumberFormat="1" applyFont="1" applyAlignment="1">
      <alignment vertical="center"/>
    </xf>
    <xf numFmtId="172" fontId="31" fillId="0" borderId="0" xfId="4" applyNumberFormat="1" applyFont="1" applyAlignment="1">
      <alignment vertical="center"/>
    </xf>
    <xf numFmtId="165" fontId="6" fillId="0" borderId="0" xfId="1" applyNumberFormat="1" applyFont="1"/>
    <xf numFmtId="177" fontId="6" fillId="0" borderId="0" xfId="4" applyNumberFormat="1" applyFont="1" applyAlignment="1">
      <alignment vertical="center"/>
    </xf>
    <xf numFmtId="1" fontId="18" fillId="0" borderId="1" xfId="4" applyNumberFormat="1" applyFont="1" applyBorder="1" applyAlignment="1">
      <alignment horizontal="center" vertical="center"/>
    </xf>
    <xf numFmtId="174" fontId="8" fillId="0" borderId="0" xfId="4" applyNumberFormat="1" applyFont="1" applyAlignment="1">
      <alignment vertical="center"/>
    </xf>
    <xf numFmtId="175" fontId="6" fillId="0" borderId="0" xfId="4" applyNumberFormat="1" applyFont="1" applyAlignment="1">
      <alignment vertical="center"/>
    </xf>
    <xf numFmtId="39" fontId="6" fillId="0" borderId="1" xfId="4" applyNumberFormat="1" applyFont="1" applyBorder="1" applyAlignment="1">
      <alignment vertical="center"/>
    </xf>
    <xf numFmtId="7" fontId="0" fillId="0" borderId="0" xfId="0" applyNumberFormat="1"/>
    <xf numFmtId="166" fontId="32" fillId="0" borderId="0" xfId="3" applyNumberFormat="1" applyFont="1"/>
    <xf numFmtId="43" fontId="32" fillId="0" borderId="0" xfId="1" applyFont="1"/>
    <xf numFmtId="5" fontId="32" fillId="0" borderId="0" xfId="1" applyNumberFormat="1" applyFont="1"/>
    <xf numFmtId="6" fontId="6" fillId="0" borderId="0" xfId="4" applyNumberFormat="1" applyFont="1"/>
    <xf numFmtId="5" fontId="6" fillId="0" borderId="0" xfId="4" applyNumberFormat="1" applyFont="1"/>
    <xf numFmtId="166" fontId="6" fillId="0" borderId="0" xfId="3" applyNumberFormat="1" applyFont="1"/>
    <xf numFmtId="9" fontId="6" fillId="0" borderId="0" xfId="3" applyFont="1" applyAlignment="1">
      <alignment vertical="center"/>
    </xf>
    <xf numFmtId="9" fontId="18" fillId="0" borderId="0" xfId="3" applyFont="1" applyAlignment="1">
      <alignment vertical="center"/>
    </xf>
    <xf numFmtId="0" fontId="6" fillId="0" borderId="0" xfId="4" quotePrefix="1" applyFont="1" applyAlignment="1">
      <alignment vertical="center"/>
    </xf>
    <xf numFmtId="182" fontId="33" fillId="0" borderId="0" xfId="0" applyNumberFormat="1" applyFont="1"/>
    <xf numFmtId="9" fontId="6" fillId="0" borderId="0" xfId="3" applyFont="1"/>
    <xf numFmtId="9" fontId="6" fillId="0" borderId="0" xfId="4" applyNumberFormat="1" applyFont="1"/>
    <xf numFmtId="8" fontId="6" fillId="0" borderId="0" xfId="4" applyNumberFormat="1" applyFont="1"/>
    <xf numFmtId="6" fontId="15" fillId="0" borderId="0" xfId="4" applyNumberFormat="1" applyFont="1" applyAlignment="1">
      <alignment vertical="center"/>
    </xf>
    <xf numFmtId="0" fontId="34" fillId="0" borderId="0" xfId="0" applyFont="1"/>
    <xf numFmtId="5" fontId="34" fillId="0" borderId="0" xfId="0" applyNumberFormat="1" applyFont="1"/>
    <xf numFmtId="0" fontId="6" fillId="0" borderId="0" xfId="4" applyFont="1" applyAlignment="1">
      <alignment vertical="center" wrapText="1"/>
    </xf>
    <xf numFmtId="0" fontId="4" fillId="0" borderId="0" xfId="4" applyFont="1" applyAlignment="1">
      <alignment vertical="center"/>
    </xf>
    <xf numFmtId="0" fontId="4" fillId="0" borderId="0" xfId="4" applyFont="1" applyAlignment="1">
      <alignment vertical="center" wrapText="1"/>
    </xf>
    <xf numFmtId="0" fontId="6" fillId="0" borderId="0" xfId="4" applyFont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2" xfId="4" applyFont="1" applyBorder="1" applyAlignment="1">
      <alignment horizontal="left" vertical="center"/>
    </xf>
    <xf numFmtId="165" fontId="6" fillId="0" borderId="1" xfId="7" applyNumberFormat="1" applyFont="1" applyFill="1" applyBorder="1" applyAlignment="1">
      <alignment vertical="center"/>
    </xf>
  </cellXfs>
  <cellStyles count="8">
    <cellStyle name="Comma" xfId="1" builtinId="3"/>
    <cellStyle name="Comma 2" xfId="7" xr:uid="{DF57AA66-FC37-485D-893E-BD81B1CBEE21}"/>
    <cellStyle name="Currency" xfId="2" builtinId="4"/>
    <cellStyle name="Currency 2" xfId="6" xr:uid="{701A0B75-A7B3-4095-AF85-696E815881BB}"/>
    <cellStyle name="Normal" xfId="0" builtinId="0"/>
    <cellStyle name="Normal 2" xfId="4" xr:uid="{44C88624-B705-4001-91CC-70AE73C904BE}"/>
    <cellStyle name="Percent" xfId="3" builtinId="5"/>
    <cellStyle name="Percent 2" xfId="5" xr:uid="{5B52B7D5-C247-48FA-B09F-551FDF01BE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0-1C7A-4A5E-9F60-17F85EBB5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55104"/>
        <c:axId val="214448624"/>
      </c:barChart>
      <c:catAx>
        <c:axId val="16505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I Bodoni Italic"/>
                <a:ea typeface="I Bodoni Italic"/>
                <a:cs typeface="I Bodoni Italic"/>
              </a:defRPr>
            </a:pPr>
            <a:endParaRPr lang="en-US"/>
          </a:p>
        </c:txPr>
        <c:crossAx val="214448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444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I Bodoni Italic"/>
                <a:ea typeface="I Bodoni Italic"/>
                <a:cs typeface="I Bodoni Italic"/>
              </a:defRPr>
            </a:pPr>
            <a:endParaRPr lang="en-US"/>
          </a:p>
        </c:txPr>
        <c:crossAx val="16505510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Geneva"/>
          <a:ea typeface="Geneva"/>
          <a:cs typeface="Geneva"/>
        </a:defRPr>
      </a:pPr>
      <a:endParaRPr lang="en-US"/>
    </a:p>
  </c:txPr>
  <c:printSettings>
    <c:headerFooter alignWithMargins="0"/>
    <c:pageMargins b="1" l="0.75000000000000522" r="0.750000000000005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25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0-E3C4-4077-9C1B-8737E5DD3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84752"/>
        <c:axId val="215211104"/>
      </c:barChart>
      <c:catAx>
        <c:axId val="16508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I Bodoni Italic"/>
                <a:ea typeface="I Bodoni Italic"/>
                <a:cs typeface="I Bodoni Italic"/>
              </a:defRPr>
            </a:pPr>
            <a:endParaRPr lang="en-US"/>
          </a:p>
        </c:txPr>
        <c:crossAx val="215211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5211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I Bodoni Italic"/>
                <a:ea typeface="I Bodoni Italic"/>
                <a:cs typeface="I Bodoni Italic"/>
              </a:defRPr>
            </a:pPr>
            <a:endParaRPr lang="en-US"/>
          </a:p>
        </c:txPr>
        <c:crossAx val="16508475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Geneva"/>
          <a:ea typeface="Geneva"/>
          <a:cs typeface="Geneva"/>
        </a:defRPr>
      </a:pPr>
      <a:endParaRPr lang="en-US"/>
    </a:p>
  </c:txPr>
  <c:printSettings>
    <c:headerFooter alignWithMargins="0"/>
    <c:pageMargins b="1" l="0.75000000000000522" r="0.7500000000000052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25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0-E2F4-467A-9EDF-DC6B240B8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31272"/>
        <c:axId val="163231664"/>
      </c:barChart>
      <c:catAx>
        <c:axId val="1632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I Bodoni Italic"/>
                <a:ea typeface="I Bodoni Italic"/>
                <a:cs typeface="I Bodoni Italic"/>
              </a:defRPr>
            </a:pPr>
            <a:endParaRPr lang="en-US"/>
          </a:p>
        </c:txPr>
        <c:crossAx val="1632316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231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I Bodoni Italic"/>
                <a:ea typeface="I Bodoni Italic"/>
                <a:cs typeface="I Bodoni Italic"/>
              </a:defRPr>
            </a:pPr>
            <a:endParaRPr lang="en-US"/>
          </a:p>
        </c:txPr>
        <c:crossAx val="16323127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Geneva"/>
          <a:ea typeface="Geneva"/>
          <a:cs typeface="Geneva"/>
        </a:defRPr>
      </a:pPr>
      <a:endParaRPr lang="en-US"/>
    </a:p>
  </c:txPr>
  <c:printSettings>
    <c:headerFooter alignWithMargins="0"/>
    <c:pageMargins b="1" l="0.75000000000000522" r="0.750000000000005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graphicFrame macro="">
      <xdr:nvGraphicFramePr>
        <xdr:cNvPr id="2" name="Chart 6">
          <a:extLst>
            <a:ext uri="{FF2B5EF4-FFF2-40B4-BE49-F238E27FC236}">
              <a16:creationId xmlns:a16="http://schemas.microsoft.com/office/drawing/2014/main" id="{0E5EFE76-8E17-41AC-980C-DE922D20CA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graphicFrame macro="">
      <xdr:nvGraphicFramePr>
        <xdr:cNvPr id="3" name="Chart 7">
          <a:extLst>
            <a:ext uri="{FF2B5EF4-FFF2-40B4-BE49-F238E27FC236}">
              <a16:creationId xmlns:a16="http://schemas.microsoft.com/office/drawing/2014/main" id="{AE5A17BC-C00F-4BA8-B9D1-E953527E96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graphicFrame macro="">
      <xdr:nvGraphicFramePr>
        <xdr:cNvPr id="4" name="Chart 8">
          <a:extLst>
            <a:ext uri="{FF2B5EF4-FFF2-40B4-BE49-F238E27FC236}">
              <a16:creationId xmlns:a16="http://schemas.microsoft.com/office/drawing/2014/main" id="{0518B252-3946-42B9-8834-FD31F7B9E7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0.bin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2.bin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4.bin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246A4-7666-4114-A3BD-33BFAE7AE2A9}">
  <sheetPr codeName="Sheet1">
    <tabColor theme="9" tint="0.79998168889431442"/>
    <pageSetUpPr fitToPage="1"/>
  </sheetPr>
  <dimension ref="A1:R39"/>
  <sheetViews>
    <sheetView tabSelected="1" zoomScale="50" zoomScaleNormal="50" workbookViewId="0"/>
  </sheetViews>
  <sheetFormatPr defaultRowHeight="14.5"/>
  <cols>
    <col min="1" max="1" width="12.54296875" customWidth="1"/>
    <col min="2" max="2" width="121" bestFit="1" customWidth="1"/>
    <col min="3" max="15" width="18.453125" bestFit="1" customWidth="1"/>
    <col min="16" max="16" width="9.26953125" bestFit="1" customWidth="1"/>
    <col min="20" max="20" width="21.1796875" customWidth="1"/>
  </cols>
  <sheetData>
    <row r="1" spans="1:18" ht="30.5">
      <c r="A1" s="1" t="s">
        <v>180</v>
      </c>
    </row>
    <row r="2" spans="1:18" ht="23">
      <c r="A2" s="2" t="s">
        <v>0</v>
      </c>
      <c r="B2" s="3"/>
      <c r="C2" s="4">
        <v>2013</v>
      </c>
      <c r="D2" s="4">
        <v>2014</v>
      </c>
      <c r="E2" s="4">
        <v>2015</v>
      </c>
      <c r="F2" s="4">
        <v>2016</v>
      </c>
      <c r="G2" s="4">
        <v>2017</v>
      </c>
      <c r="H2" s="4">
        <v>2018</v>
      </c>
      <c r="I2" s="4">
        <v>2019</v>
      </c>
      <c r="J2" s="4">
        <v>2020</v>
      </c>
      <c r="K2" s="4">
        <v>2021</v>
      </c>
      <c r="L2" s="4">
        <v>2022</v>
      </c>
      <c r="M2" s="4">
        <v>2023</v>
      </c>
      <c r="N2" s="4">
        <v>2024</v>
      </c>
      <c r="O2" s="4">
        <v>2025</v>
      </c>
    </row>
    <row r="3" spans="1:18" ht="23">
      <c r="A3" s="5"/>
      <c r="B3" s="5" t="s">
        <v>1</v>
      </c>
      <c r="C3" s="6">
        <v>34997.9</v>
      </c>
      <c r="D3" s="6">
        <v>32960.6</v>
      </c>
      <c r="E3" s="6">
        <v>25775.200000000001</v>
      </c>
      <c r="F3" s="6">
        <v>23387.3</v>
      </c>
      <c r="G3" s="6">
        <v>25885</v>
      </c>
      <c r="H3" s="7">
        <v>33351</v>
      </c>
      <c r="I3" s="7">
        <v>34886</v>
      </c>
      <c r="J3" s="7">
        <v>31272</v>
      </c>
      <c r="K3" s="7">
        <v>39737</v>
      </c>
      <c r="L3" s="7">
        <v>47917</v>
      </c>
      <c r="M3" s="7">
        <v>55565</v>
      </c>
      <c r="N3" s="7">
        <v>44759</v>
      </c>
      <c r="O3" s="7">
        <v>38917</v>
      </c>
    </row>
    <row r="4" spans="1:18" ht="23">
      <c r="A4" s="5"/>
      <c r="B4" s="5" t="s">
        <v>2</v>
      </c>
      <c r="C4" s="8">
        <v>80.8</v>
      </c>
      <c r="D4" s="8">
        <v>76</v>
      </c>
      <c r="E4" s="8">
        <v>77</v>
      </c>
      <c r="F4" s="8">
        <v>61.1</v>
      </c>
      <c r="G4" s="8">
        <v>72</v>
      </c>
      <c r="H4" s="8">
        <v>126</v>
      </c>
      <c r="I4" s="8">
        <v>118</v>
      </c>
      <c r="J4" s="8">
        <v>112</v>
      </c>
      <c r="K4" s="8">
        <v>133</v>
      </c>
      <c r="L4" s="8">
        <v>213</v>
      </c>
      <c r="M4" s="8">
        <v>636</v>
      </c>
      <c r="N4" s="8">
        <v>596</v>
      </c>
      <c r="O4" s="8">
        <v>521</v>
      </c>
    </row>
    <row r="5" spans="1:18" ht="23">
      <c r="A5" s="5"/>
      <c r="B5" s="5" t="s">
        <v>3</v>
      </c>
      <c r="C5" s="8">
        <v>549.1</v>
      </c>
      <c r="D5" s="8">
        <v>622.6</v>
      </c>
      <c r="E5" s="8">
        <v>602.70000000000005</v>
      </c>
      <c r="F5" s="8">
        <v>653.70000000000005</v>
      </c>
      <c r="G5" s="8">
        <v>1065</v>
      </c>
      <c r="H5" s="8">
        <v>875</v>
      </c>
      <c r="I5" s="8">
        <v>881</v>
      </c>
      <c r="J5" s="8">
        <v>808</v>
      </c>
      <c r="K5" s="8">
        <v>941</v>
      </c>
      <c r="L5" s="8">
        <v>1261</v>
      </c>
      <c r="M5" s="8">
        <v>858</v>
      </c>
      <c r="N5" s="8">
        <v>1006</v>
      </c>
      <c r="O5" s="8">
        <v>821</v>
      </c>
    </row>
    <row r="6" spans="1:18" ht="23">
      <c r="A6" s="9"/>
      <c r="B6" s="9" t="s">
        <v>4</v>
      </c>
      <c r="C6" s="10">
        <v>35627.800000000003</v>
      </c>
      <c r="D6" s="10">
        <v>33659.699999999997</v>
      </c>
      <c r="E6" s="10">
        <v>26454.9</v>
      </c>
      <c r="F6" s="10">
        <v>24102.1</v>
      </c>
      <c r="G6" s="10">
        <v>27022</v>
      </c>
      <c r="H6" s="10">
        <v>34352</v>
      </c>
      <c r="I6" s="10">
        <v>35885</v>
      </c>
      <c r="J6" s="10">
        <v>32192</v>
      </c>
      <c r="K6" s="10">
        <v>40811</v>
      </c>
      <c r="L6" s="10">
        <f>SUM(L3:L5)</f>
        <v>49391</v>
      </c>
      <c r="M6" s="10">
        <f>SUM(M3:M5)</f>
        <v>57059</v>
      </c>
      <c r="N6" s="10">
        <f>SUM(N3:N5)</f>
        <v>46361</v>
      </c>
      <c r="O6" s="10">
        <f>SUM(O3:O5)</f>
        <v>40259</v>
      </c>
    </row>
    <row r="7" spans="1:18" ht="23">
      <c r="A7" s="9" t="s">
        <v>5</v>
      </c>
      <c r="B7" s="9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8" ht="25.5">
      <c r="A8" s="5"/>
      <c r="B8" s="5" t="s">
        <v>6</v>
      </c>
      <c r="C8" s="8">
        <v>25504.2</v>
      </c>
      <c r="D8" s="8">
        <v>24666.799999999999</v>
      </c>
      <c r="E8" s="8">
        <v>19981</v>
      </c>
      <c r="F8" s="8">
        <v>18198</v>
      </c>
      <c r="G8" s="8">
        <v>19868</v>
      </c>
      <c r="H8" s="8">
        <v>25573</v>
      </c>
      <c r="I8" s="8">
        <v>26793</v>
      </c>
      <c r="J8" s="8">
        <v>23679</v>
      </c>
      <c r="K8" s="8">
        <v>29119</v>
      </c>
      <c r="L8" s="8">
        <v>35341</v>
      </c>
      <c r="M8" s="8">
        <v>37739</v>
      </c>
      <c r="N8" s="8">
        <v>30803</v>
      </c>
      <c r="O8" s="8">
        <v>28190</v>
      </c>
      <c r="R8" s="133"/>
    </row>
    <row r="9" spans="1:18" ht="25.5">
      <c r="A9" s="5"/>
      <c r="B9" s="5" t="s">
        <v>7</v>
      </c>
      <c r="C9" s="8">
        <v>1445.4</v>
      </c>
      <c r="D9" s="8">
        <v>1437.2</v>
      </c>
      <c r="E9" s="8">
        <v>1410.8</v>
      </c>
      <c r="F9" s="8">
        <v>1393.7</v>
      </c>
      <c r="G9" s="8">
        <v>1373</v>
      </c>
      <c r="H9" s="8">
        <v>1658</v>
      </c>
      <c r="I9" s="8">
        <v>1783</v>
      </c>
      <c r="J9" s="8">
        <v>1644</v>
      </c>
      <c r="K9" s="8">
        <v>1587</v>
      </c>
      <c r="L9" s="8">
        <v>1912</v>
      </c>
      <c r="M9" s="8">
        <v>2177</v>
      </c>
      <c r="N9" s="8">
        <v>2290</v>
      </c>
      <c r="O9" s="8">
        <v>2311</v>
      </c>
    </row>
    <row r="10" spans="1:18" ht="25.5">
      <c r="A10" s="5"/>
      <c r="B10" s="5" t="s">
        <v>8</v>
      </c>
      <c r="C10" s="12">
        <v>3096.8</v>
      </c>
      <c r="D10" s="12">
        <v>2744.8</v>
      </c>
      <c r="E10" s="12">
        <v>2383.1999999999998</v>
      </c>
      <c r="F10" s="12">
        <v>2282.6</v>
      </c>
      <c r="G10" s="12">
        <v>2555</v>
      </c>
      <c r="H10" s="12">
        <v>2935</v>
      </c>
      <c r="I10" s="12">
        <v>3031</v>
      </c>
      <c r="J10" s="12">
        <v>2878</v>
      </c>
      <c r="K10" s="12">
        <v>2887</v>
      </c>
      <c r="L10" s="12">
        <v>3137</v>
      </c>
      <c r="M10" s="12">
        <v>3611</v>
      </c>
      <c r="N10" s="12">
        <v>3791</v>
      </c>
      <c r="O10" s="12">
        <v>3856</v>
      </c>
    </row>
    <row r="11" spans="1:18" ht="23">
      <c r="A11" s="5"/>
      <c r="B11" s="5" t="s">
        <v>9</v>
      </c>
      <c r="C11" s="8">
        <v>297.10000000000002</v>
      </c>
      <c r="D11" s="8">
        <v>289.39999999999998</v>
      </c>
      <c r="E11" s="8">
        <v>272.8</v>
      </c>
      <c r="F11" s="8">
        <v>250.5</v>
      </c>
      <c r="G11" s="8">
        <v>264</v>
      </c>
      <c r="H11" s="8">
        <v>298</v>
      </c>
      <c r="I11" s="8">
        <v>256</v>
      </c>
      <c r="J11" s="8">
        <v>329</v>
      </c>
      <c r="K11" s="8">
        <v>368</v>
      </c>
      <c r="L11" s="8">
        <v>390</v>
      </c>
      <c r="M11" s="8">
        <v>411</v>
      </c>
      <c r="N11" s="8">
        <v>396</v>
      </c>
      <c r="O11" s="8">
        <v>372</v>
      </c>
    </row>
    <row r="12" spans="1:18" ht="23">
      <c r="A12" s="5"/>
      <c r="B12" s="5" t="s">
        <v>10</v>
      </c>
      <c r="C12" s="8">
        <v>202.7</v>
      </c>
      <c r="D12" s="8">
        <v>212.1</v>
      </c>
      <c r="E12" s="8">
        <v>204.8</v>
      </c>
      <c r="F12" s="8">
        <v>216.6</v>
      </c>
      <c r="G12" s="8">
        <v>234</v>
      </c>
      <c r="H12" s="8">
        <v>300</v>
      </c>
      <c r="I12" s="8">
        <v>336</v>
      </c>
      <c r="J12" s="8">
        <v>248</v>
      </c>
      <c r="K12" s="8">
        <v>217</v>
      </c>
      <c r="L12" s="8">
        <v>299</v>
      </c>
      <c r="M12" s="8">
        <v>687</v>
      </c>
      <c r="N12" s="8">
        <v>640</v>
      </c>
      <c r="O12" s="8">
        <v>414</v>
      </c>
    </row>
    <row r="13" spans="1:18" ht="25.5">
      <c r="A13" s="5"/>
      <c r="B13" s="5" t="s">
        <v>11</v>
      </c>
      <c r="C13" s="8">
        <v>467.3</v>
      </c>
      <c r="D13" s="8">
        <v>431.5</v>
      </c>
      <c r="E13" s="8">
        <v>384.1</v>
      </c>
      <c r="F13" s="8">
        <v>243.8</v>
      </c>
      <c r="G13" s="8">
        <v>295</v>
      </c>
      <c r="H13" s="8">
        <v>315</v>
      </c>
      <c r="I13" s="8">
        <v>299</v>
      </c>
      <c r="J13" s="8">
        <v>278</v>
      </c>
      <c r="K13" s="8">
        <v>181</v>
      </c>
      <c r="L13" s="8">
        <v>350</v>
      </c>
      <c r="M13" s="8">
        <v>217</v>
      </c>
      <c r="N13" s="8">
        <v>133</v>
      </c>
      <c r="O13" s="8">
        <v>-29</v>
      </c>
    </row>
    <row r="14" spans="1:18" ht="23">
      <c r="A14" s="9"/>
      <c r="B14" s="9" t="s">
        <v>4</v>
      </c>
      <c r="C14" s="10">
        <v>31013.5</v>
      </c>
      <c r="D14" s="10">
        <v>29781.8</v>
      </c>
      <c r="E14" s="10">
        <v>24636.699999999997</v>
      </c>
      <c r="F14" s="10">
        <v>22585.199999999997</v>
      </c>
      <c r="G14" s="10">
        <v>24589</v>
      </c>
      <c r="H14" s="10">
        <v>31079</v>
      </c>
      <c r="I14" s="10">
        <v>32498</v>
      </c>
      <c r="J14" s="10">
        <v>29056</v>
      </c>
      <c r="K14" s="10">
        <v>34359</v>
      </c>
      <c r="L14" s="10">
        <f>SUM(L8:L13)</f>
        <v>41429</v>
      </c>
      <c r="M14" s="10">
        <f>SUM(M8:M13)</f>
        <v>44842</v>
      </c>
      <c r="N14" s="10">
        <f>SUM(N8:N13)</f>
        <v>38053</v>
      </c>
      <c r="O14" s="10">
        <f>SUM(O8:O13)</f>
        <v>35114</v>
      </c>
    </row>
    <row r="15" spans="1:18" ht="23">
      <c r="A15" s="5" t="s">
        <v>181</v>
      </c>
      <c r="B15" s="5"/>
      <c r="C15" s="8">
        <v>4614.3000000000029</v>
      </c>
      <c r="D15" s="8">
        <v>3877.8999999999978</v>
      </c>
      <c r="E15" s="8">
        <v>1818.2000000000044</v>
      </c>
      <c r="F15" s="8">
        <v>1516.9000000000015</v>
      </c>
      <c r="G15" s="8">
        <v>2433</v>
      </c>
      <c r="H15" s="8">
        <v>3273</v>
      </c>
      <c r="I15" s="8">
        <v>3387</v>
      </c>
      <c r="J15" s="8">
        <v>3136</v>
      </c>
      <c r="K15" s="8">
        <v>6452</v>
      </c>
      <c r="L15" s="8">
        <f>+L6-L14</f>
        <v>7962</v>
      </c>
      <c r="M15" s="8">
        <v>12217</v>
      </c>
      <c r="N15" s="8">
        <f>N6-N14</f>
        <v>8308</v>
      </c>
      <c r="O15" s="8">
        <f>O6-O14</f>
        <v>5145</v>
      </c>
    </row>
    <row r="16" spans="1:18" ht="23">
      <c r="B16" s="5" t="s">
        <v>12</v>
      </c>
      <c r="C16" s="13">
        <v>1640.7</v>
      </c>
      <c r="D16" s="13">
        <v>1329.6</v>
      </c>
      <c r="E16" s="13">
        <v>509.9</v>
      </c>
      <c r="F16" s="13">
        <v>459</v>
      </c>
      <c r="G16" s="13">
        <v>726</v>
      </c>
      <c r="H16" s="13">
        <v>1869</v>
      </c>
      <c r="I16" s="13">
        <v>689</v>
      </c>
      <c r="J16" s="13">
        <v>899</v>
      </c>
      <c r="K16" s="13">
        <v>1386</v>
      </c>
      <c r="L16" s="13">
        <v>1718</v>
      </c>
      <c r="M16" s="13">
        <v>2685</v>
      </c>
      <c r="N16" s="13">
        <v>1887</v>
      </c>
      <c r="O16" s="13">
        <v>1020</v>
      </c>
    </row>
    <row r="17" spans="1:15" ht="23">
      <c r="A17" s="5" t="s">
        <v>182</v>
      </c>
      <c r="B17" s="5"/>
      <c r="C17" s="12">
        <v>2973.6000000000031</v>
      </c>
      <c r="D17" s="12">
        <v>2548.2999999999979</v>
      </c>
      <c r="E17" s="12">
        <v>1308.3000000000043</v>
      </c>
      <c r="F17" s="12">
        <v>1057.9000000000015</v>
      </c>
      <c r="G17" s="12">
        <v>1707</v>
      </c>
      <c r="H17" s="12">
        <v>1404</v>
      </c>
      <c r="I17" s="12">
        <v>2698</v>
      </c>
      <c r="J17" s="12">
        <v>2237</v>
      </c>
      <c r="K17" s="12">
        <v>5066</v>
      </c>
      <c r="L17" s="12">
        <f>+L15-L16</f>
        <v>6244</v>
      </c>
      <c r="M17" s="12">
        <f>+M15-M16</f>
        <v>9532</v>
      </c>
      <c r="N17" s="12">
        <f>+N15-N16</f>
        <v>6421</v>
      </c>
      <c r="O17" s="12">
        <f>+O15-O16</f>
        <v>4125</v>
      </c>
    </row>
    <row r="18" spans="1:15" ht="23">
      <c r="A18" s="5"/>
      <c r="B18" s="5" t="s">
        <v>183</v>
      </c>
      <c r="C18" s="13">
        <v>-1</v>
      </c>
      <c r="D18" s="13">
        <v>-9</v>
      </c>
      <c r="E18" s="13">
        <v>-0.3</v>
      </c>
      <c r="F18" s="13">
        <v>-4</v>
      </c>
      <c r="G18" s="13">
        <v>-25</v>
      </c>
      <c r="H18" s="13">
        <v>25</v>
      </c>
      <c r="I18" s="13">
        <v>20</v>
      </c>
      <c r="J18" s="13">
        <v>-50</v>
      </c>
      <c r="K18" s="13">
        <v>18</v>
      </c>
      <c r="L18" s="13">
        <v>6</v>
      </c>
      <c r="M18" s="13">
        <v>4</v>
      </c>
      <c r="N18" s="13">
        <v>-29</v>
      </c>
      <c r="O18" s="13">
        <v>-17</v>
      </c>
    </row>
    <row r="19" spans="1:15" ht="23">
      <c r="A19" s="5" t="s">
        <v>14</v>
      </c>
      <c r="B19" s="5"/>
      <c r="C19" s="121">
        <f t="shared" ref="C19:K19" si="0">C17+C18</f>
        <v>2972.6000000000031</v>
      </c>
      <c r="D19" s="121">
        <f>D17+D18</f>
        <v>2539.2999999999979</v>
      </c>
      <c r="E19" s="121">
        <f t="shared" si="0"/>
        <v>1308.0000000000043</v>
      </c>
      <c r="F19" s="121">
        <f t="shared" si="0"/>
        <v>1053.9000000000015</v>
      </c>
      <c r="G19" s="121">
        <f t="shared" si="0"/>
        <v>1682</v>
      </c>
      <c r="H19" s="121">
        <f t="shared" si="0"/>
        <v>1429</v>
      </c>
      <c r="I19" s="121">
        <f>I17+I18</f>
        <v>2718</v>
      </c>
      <c r="J19" s="121">
        <f t="shared" si="0"/>
        <v>2187</v>
      </c>
      <c r="K19" s="121">
        <f t="shared" si="0"/>
        <v>5084</v>
      </c>
      <c r="L19" s="121">
        <f>L17+L18</f>
        <v>6250</v>
      </c>
      <c r="M19" s="121">
        <f>M17+M18</f>
        <v>9536</v>
      </c>
      <c r="N19" s="121">
        <f>N17+N18</f>
        <v>6392</v>
      </c>
      <c r="O19" s="121">
        <f>O17+O18</f>
        <v>4108</v>
      </c>
    </row>
    <row r="20" spans="1:15" ht="23">
      <c r="A20" s="2"/>
      <c r="B20" s="124" t="s">
        <v>15</v>
      </c>
      <c r="C20" s="14">
        <v>1</v>
      </c>
      <c r="D20" s="14">
        <v>2</v>
      </c>
      <c r="E20" s="14">
        <v>0.9</v>
      </c>
      <c r="F20" s="14">
        <v>-2.4</v>
      </c>
      <c r="G20" s="14">
        <v>0</v>
      </c>
      <c r="H20" s="14">
        <v>3</v>
      </c>
      <c r="I20" s="14">
        <v>4</v>
      </c>
      <c r="J20" s="14">
        <v>2</v>
      </c>
      <c r="K20" s="14">
        <v>2</v>
      </c>
      <c r="L20" s="14">
        <v>-1</v>
      </c>
      <c r="M20" s="14">
        <v>-11</v>
      </c>
      <c r="N20" s="14">
        <v>-12</v>
      </c>
      <c r="O20" s="14">
        <v>-29</v>
      </c>
    </row>
    <row r="21" spans="1:15" ht="23">
      <c r="A21" s="9" t="s">
        <v>16</v>
      </c>
      <c r="B21" s="9"/>
      <c r="C21" s="15">
        <f t="shared" ref="C21:K21" si="1">+C19-C20</f>
        <v>2971.6000000000031</v>
      </c>
      <c r="D21" s="15">
        <f t="shared" si="1"/>
        <v>2537.2999999999979</v>
      </c>
      <c r="E21" s="15">
        <f t="shared" si="1"/>
        <v>1307.1000000000042</v>
      </c>
      <c r="F21" s="15">
        <f t="shared" si="1"/>
        <v>1056.3000000000015</v>
      </c>
      <c r="G21" s="15">
        <f t="shared" si="1"/>
        <v>1682</v>
      </c>
      <c r="H21" s="15">
        <f t="shared" si="1"/>
        <v>1426</v>
      </c>
      <c r="I21" s="15">
        <f t="shared" si="1"/>
        <v>2714</v>
      </c>
      <c r="J21" s="15">
        <f t="shared" si="1"/>
        <v>2185</v>
      </c>
      <c r="K21" s="15">
        <f t="shared" si="1"/>
        <v>5082</v>
      </c>
      <c r="L21" s="15">
        <f>+L19-L20</f>
        <v>6251</v>
      </c>
      <c r="M21" s="15">
        <f>+M19-M20</f>
        <v>9547</v>
      </c>
      <c r="N21" s="15">
        <f>+N19-N20</f>
        <v>6404</v>
      </c>
      <c r="O21" s="15">
        <f>+O19-O20</f>
        <v>4137</v>
      </c>
    </row>
    <row r="22" spans="1:15" ht="23">
      <c r="A22" s="5"/>
      <c r="B22" s="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5" ht="23">
      <c r="A23" s="9" t="s">
        <v>17</v>
      </c>
      <c r="B23" s="9"/>
      <c r="C23" s="17">
        <v>385310</v>
      </c>
      <c r="D23" s="17">
        <v>363003</v>
      </c>
      <c r="E23" s="17">
        <v>333596</v>
      </c>
      <c r="F23" s="17">
        <v>315207</v>
      </c>
      <c r="G23" s="17">
        <v>319499</v>
      </c>
      <c r="H23" s="17">
        <v>322586</v>
      </c>
      <c r="I23" s="17">
        <v>316499</v>
      </c>
      <c r="J23" s="17">
        <v>313508</v>
      </c>
      <c r="K23" s="17">
        <v>311573</v>
      </c>
      <c r="L23" s="17">
        <v>304465</v>
      </c>
      <c r="M23" s="17">
        <v>292162</v>
      </c>
      <c r="N23" s="17">
        <f>276005.964</f>
        <v>276005.96399999998</v>
      </c>
      <c r="O23" s="17">
        <v>270943</v>
      </c>
    </row>
    <row r="24" spans="1:15" ht="25.5">
      <c r="A24" s="5" t="s">
        <v>18</v>
      </c>
      <c r="B24" s="5"/>
      <c r="C24" s="18">
        <v>9.18</v>
      </c>
      <c r="D24" s="18">
        <v>8.7100000000000009</v>
      </c>
      <c r="E24" s="18">
        <v>5.81</v>
      </c>
      <c r="F24" s="18">
        <v>4.83</v>
      </c>
      <c r="G24" s="18">
        <v>6.76</v>
      </c>
      <c r="H24" s="18">
        <v>7.34</v>
      </c>
      <c r="I24" s="18">
        <v>10.28</v>
      </c>
      <c r="J24" s="18">
        <v>8.77</v>
      </c>
      <c r="K24" s="18">
        <v>19.14</v>
      </c>
      <c r="L24" s="18">
        <v>23.42</v>
      </c>
      <c r="M24" s="18">
        <v>34.799999999999997</v>
      </c>
      <c r="N24" s="18">
        <v>25.73</v>
      </c>
      <c r="O24" s="18">
        <v>18.55</v>
      </c>
    </row>
    <row r="25" spans="1:15" ht="25.5">
      <c r="A25" s="2" t="s">
        <v>19</v>
      </c>
      <c r="B25" s="2"/>
      <c r="C25" s="19">
        <v>9.09</v>
      </c>
      <c r="D25" s="19">
        <v>8.6300000000000008</v>
      </c>
      <c r="E25" s="19">
        <v>5.77</v>
      </c>
      <c r="F25" s="19">
        <v>4.8099999999999996</v>
      </c>
      <c r="G25" s="19">
        <v>6.68</v>
      </c>
      <c r="H25" s="19">
        <v>7.24</v>
      </c>
      <c r="I25" s="19">
        <v>10.15</v>
      </c>
      <c r="J25" s="19">
        <v>8.69</v>
      </c>
      <c r="K25" s="19">
        <v>18.989999999999998</v>
      </c>
      <c r="L25" s="19">
        <v>23.28</v>
      </c>
      <c r="M25" s="19">
        <v>34.630000000000003</v>
      </c>
      <c r="N25" s="19">
        <v>25.62</v>
      </c>
      <c r="O25" s="19">
        <v>18.5</v>
      </c>
    </row>
    <row r="26" spans="1:15">
      <c r="A26" s="20"/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19.5">
      <c r="A27" s="22" t="s">
        <v>20</v>
      </c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ht="19.5">
      <c r="A28" s="22" t="s">
        <v>21</v>
      </c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ht="19.5">
      <c r="A29" s="22" t="s">
        <v>22</v>
      </c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ht="45" customHeight="1">
      <c r="D30" s="135"/>
      <c r="E30" s="135"/>
      <c r="F30" s="135"/>
      <c r="G30" s="135"/>
      <c r="H30" s="135"/>
      <c r="I30" s="135"/>
      <c r="J30" s="135"/>
      <c r="K30" s="135"/>
      <c r="L30" s="136"/>
      <c r="M30" s="135"/>
      <c r="N30" s="135"/>
      <c r="O30" s="135"/>
    </row>
    <row r="31" spans="1:15" ht="23.5">
      <c r="G31" s="134"/>
      <c r="H31" s="134"/>
      <c r="I31" s="134"/>
      <c r="J31" s="134"/>
      <c r="K31" s="134"/>
      <c r="L31" s="134"/>
      <c r="M31" s="134"/>
      <c r="N31" s="134"/>
      <c r="O31" s="134"/>
    </row>
    <row r="35" spans="4:15" ht="21">
      <c r="M35" s="143"/>
      <c r="N35" s="143"/>
      <c r="O35" s="143"/>
    </row>
    <row r="38" spans="4:15" ht="18.5">
      <c r="D38" s="149"/>
    </row>
    <row r="39" spans="4:15" ht="18.5">
      <c r="D39" s="148"/>
    </row>
  </sheetData>
  <pageMargins left="0.25" right="0.25" top="0.75" bottom="0.75" header="0.3" footer="0.3"/>
  <pageSetup scale="35" orientation="landscape" r:id="rId1"/>
  <headerFooter>
    <oddFooter>&amp;R&amp;1#&amp;"Calibri"&amp;10&amp;KFF0000Company Use</oddFooter>
  </headerFooter>
  <customProperties>
    <customPr name="_pios_id" r:id="rId2"/>
    <customPr name="EpmWorksheetKeyString_GU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E7886-BC6C-4445-A316-F5606468B02F}">
  <sheetPr codeName="Sheet2">
    <tabColor theme="9" tint="0.79998168889431442"/>
    <pageSetUpPr fitToPage="1"/>
  </sheetPr>
  <dimension ref="A1:R32"/>
  <sheetViews>
    <sheetView zoomScale="50" zoomScaleNormal="50" workbookViewId="0"/>
  </sheetViews>
  <sheetFormatPr defaultColWidth="11.453125" defaultRowHeight="11.5"/>
  <cols>
    <col min="1" max="1" width="6" style="27" customWidth="1"/>
    <col min="2" max="2" width="121.26953125" style="27" customWidth="1"/>
    <col min="3" max="15" width="25.7265625" style="27" customWidth="1"/>
    <col min="16" max="16384" width="11.453125" style="27"/>
  </cols>
  <sheetData>
    <row r="1" spans="1:15" ht="32.25" customHeight="1">
      <c r="A1" s="25" t="s">
        <v>189</v>
      </c>
      <c r="B1" s="26"/>
      <c r="C1" s="26"/>
    </row>
    <row r="2" spans="1:15" s="31" customFormat="1" ht="27" customHeight="1">
      <c r="A2" s="28" t="s">
        <v>0</v>
      </c>
      <c r="B2" s="29"/>
      <c r="C2" s="77">
        <f>'Income Statement -1'!C2</f>
        <v>2013</v>
      </c>
      <c r="D2" s="77">
        <f>'Income Statement -1'!D2</f>
        <v>2014</v>
      </c>
      <c r="E2" s="77">
        <f>'Income Statement -1'!E2</f>
        <v>2015</v>
      </c>
      <c r="F2" s="77">
        <f>'Income Statement -1'!F2</f>
        <v>2016</v>
      </c>
      <c r="G2" s="77">
        <f>'Income Statement -1'!G2</f>
        <v>2017</v>
      </c>
      <c r="H2" s="77">
        <f>'Income Statement -1'!H2</f>
        <v>2018</v>
      </c>
      <c r="I2" s="77">
        <f>'Income Statement -1'!I2</f>
        <v>2019</v>
      </c>
      <c r="J2" s="77">
        <f>'Income Statement -1'!J2</f>
        <v>2020</v>
      </c>
      <c r="K2" s="77">
        <f>'Income Statement -1'!K2</f>
        <v>2021</v>
      </c>
      <c r="L2" s="77">
        <f>'Income Statement -1'!L2</f>
        <v>2022</v>
      </c>
      <c r="M2" s="77">
        <v>2023</v>
      </c>
      <c r="N2" s="77">
        <v>2024</v>
      </c>
      <c r="O2" s="77">
        <v>2025</v>
      </c>
    </row>
    <row r="3" spans="1:15" s="33" customFormat="1" ht="27" customHeight="1">
      <c r="A3" s="31"/>
      <c r="B3" s="31" t="s">
        <v>1</v>
      </c>
      <c r="C3" s="32">
        <f>'Income Statement -1'!C3/'Income Statement -1'!C3</f>
        <v>1</v>
      </c>
      <c r="D3" s="32">
        <f>'Income Statement -1'!D3/'Income Statement -1'!D3</f>
        <v>1</v>
      </c>
      <c r="E3" s="32">
        <f>'Income Statement -1'!E3/'Income Statement -1'!E3</f>
        <v>1</v>
      </c>
      <c r="F3" s="32">
        <f>'Income Statement -1'!F3/'Income Statement -1'!F3</f>
        <v>1</v>
      </c>
      <c r="G3" s="32">
        <f>'Income Statement -1'!G3/'Income Statement -1'!G3</f>
        <v>1</v>
      </c>
      <c r="H3" s="32">
        <f>'Income Statement -1'!H3/'Income Statement -1'!H3</f>
        <v>1</v>
      </c>
      <c r="I3" s="32">
        <f>'Income Statement -1'!I3/'Income Statement -1'!I3</f>
        <v>1</v>
      </c>
      <c r="J3" s="32">
        <f>'Income Statement -1'!J3/'Income Statement -1'!J3</f>
        <v>1</v>
      </c>
      <c r="K3" s="32">
        <f>'Income Statement -1'!K3/'Income Statement -1'!K3</f>
        <v>1</v>
      </c>
      <c r="L3" s="32">
        <f>'Income Statement -1'!L3/'Income Statement -1'!L3</f>
        <v>1</v>
      </c>
      <c r="M3" s="32">
        <f>'Income Statement -1'!M3/'Income Statement -1'!M3</f>
        <v>1</v>
      </c>
      <c r="N3" s="32">
        <f>'Income Statement -1'!N3/'Income Statement -1'!N3</f>
        <v>1</v>
      </c>
      <c r="O3" s="32">
        <f>'Income Statement -1'!O3/'Income Statement -1'!O3</f>
        <v>1</v>
      </c>
    </row>
    <row r="4" spans="1:15" s="33" customFormat="1" ht="27" customHeight="1">
      <c r="A4" s="31"/>
      <c r="B4" s="31" t="s">
        <v>2</v>
      </c>
      <c r="C4" s="34">
        <f>'Income Statement -1'!C4/'Income Statement -1'!C3*100</f>
        <v>0.23087099511684986</v>
      </c>
      <c r="D4" s="34">
        <f>'Income Statement -1'!D4/'Income Statement -1'!D3*100</f>
        <v>0.23057832685084617</v>
      </c>
      <c r="E4" s="34">
        <f>'Income Statement -1'!E4/'Income Statement -1'!E3*100</f>
        <v>0.29873677022874701</v>
      </c>
      <c r="F4" s="34">
        <f>'Income Statement -1'!F4/'Income Statement -1'!F3*100</f>
        <v>0.2612529022161601</v>
      </c>
      <c r="G4" s="34">
        <f>'Income Statement -1'!G4/'Income Statement -1'!G3*100</f>
        <v>0.27815337067799883</v>
      </c>
      <c r="H4" s="34">
        <f>'Income Statement -1'!H4/'Income Statement -1'!H3*100</f>
        <v>0.37779976612395433</v>
      </c>
      <c r="I4" s="34">
        <f>'Income Statement -1'!I4/'Income Statement -1'!I3*100</f>
        <v>0.33824456802155595</v>
      </c>
      <c r="J4" s="34">
        <f>'Income Statement -1'!J4/'Income Statement -1'!J3*100</f>
        <v>0.3581478639038117</v>
      </c>
      <c r="K4" s="34">
        <f>'Income Statement -1'!K4/'Income Statement -1'!K3*100</f>
        <v>0.33470065681858219</v>
      </c>
      <c r="L4" s="34">
        <f>'Income Statement -1'!L4/'Income Statement -1'!L3*100</f>
        <v>0.4445186468268047</v>
      </c>
      <c r="M4" s="34">
        <f>'Income Statement -1'!M4/'Income Statement -1'!M3*100</f>
        <v>1.1446054170790965</v>
      </c>
      <c r="N4" s="34">
        <f>'Income Statement -1'!N4/'Income Statement -1'!N3*100</f>
        <v>1.3315757724703412</v>
      </c>
      <c r="O4" s="34">
        <f>'Income Statement -1'!O4/'Income Statement -1'!O3*100</f>
        <v>1.3387465631986022</v>
      </c>
    </row>
    <row r="5" spans="1:15" s="33" customFormat="1" ht="27" customHeight="1">
      <c r="A5" s="31"/>
      <c r="B5" s="31" t="s">
        <v>3</v>
      </c>
      <c r="C5" s="34">
        <f>'Income Statement -1'!C5/'Income Statement -1'!C3*100</f>
        <v>1.5689512799339389</v>
      </c>
      <c r="D5" s="34">
        <f>'Income Statement -1'!D5/'Income Statement -1'!D3*100</f>
        <v>1.8889219249649585</v>
      </c>
      <c r="E5" s="34">
        <f>'Income Statement -1'!E5/'Income Statement -1'!E3*100</f>
        <v>2.3382941742450107</v>
      </c>
      <c r="F5" s="34">
        <f>'Income Statement -1'!F5/'Income Statement -1'!F3*100</f>
        <v>2.7951067459689662</v>
      </c>
      <c r="G5" s="34">
        <f>'Income Statement -1'!G5/'Income Statement -1'!G3*100</f>
        <v>4.1143519412787333</v>
      </c>
      <c r="H5" s="34">
        <f>'Income Statement -1'!H5/'Income Statement -1'!H3*100</f>
        <v>2.6236094869719047</v>
      </c>
      <c r="I5" s="34">
        <f>'Income Statement -1'!I5/'Income Statement -1'!I3*100</f>
        <v>2.5253683426016167</v>
      </c>
      <c r="J5" s="34">
        <f>'Income Statement -1'!J5/'Income Statement -1'!J3*100</f>
        <v>2.5837810181632133</v>
      </c>
      <c r="K5" s="34">
        <f>'Income Statement -1'!K5/'Income Statement -1'!K3*100</f>
        <v>2.3680700606487659</v>
      </c>
      <c r="L5" s="34">
        <f>'Income Statement -1'!L5/'Income Statement -1'!L3*100</f>
        <v>2.6316338668948394</v>
      </c>
      <c r="M5" s="34">
        <f>'Income Statement -1'!M5/'Income Statement -1'!M3*100</f>
        <v>1.5441374966255736</v>
      </c>
      <c r="N5" s="34">
        <f>'Income Statement -1'!N5/'Income Statement -1'!N3*100</f>
        <v>2.2475926629281262</v>
      </c>
      <c r="O5" s="34">
        <f>'Income Statement -1'!O5/'Income Statement -1'!O3*100</f>
        <v>2.1096179047716936</v>
      </c>
    </row>
    <row r="6" spans="1:15" s="33" customFormat="1" ht="27" customHeight="1">
      <c r="A6" s="28"/>
      <c r="B6" s="28" t="s">
        <v>4</v>
      </c>
      <c r="C6" s="35">
        <f>'Income Statement -1'!C6/'Income Statement -1'!C3*100</f>
        <v>101.7998222750508</v>
      </c>
      <c r="D6" s="35">
        <f>'Income Statement -1'!D6/'Income Statement -1'!D3*100</f>
        <v>102.12101721449245</v>
      </c>
      <c r="E6" s="35">
        <f>'Income Statement -1'!E6/'Income Statement -1'!E3*100</f>
        <v>102.63703094447376</v>
      </c>
      <c r="F6" s="35">
        <f>'Income Statement -1'!F6/'Income Statement -1'!F3*100</f>
        <v>103.05635964818511</v>
      </c>
      <c r="G6" s="35">
        <f>'Income Statement -1'!G6/'Income Statement -1'!G3*100</f>
        <v>104.39250531195674</v>
      </c>
      <c r="H6" s="35">
        <f>'Income Statement -1'!H6/'Income Statement -1'!H3*100</f>
        <v>103.00140925309587</v>
      </c>
      <c r="I6" s="35">
        <f>'Income Statement -1'!I6/'Income Statement -1'!I3*100</f>
        <v>102.86361291062317</v>
      </c>
      <c r="J6" s="35">
        <f>'Income Statement -1'!J6/'Income Statement -1'!J3*100</f>
        <v>102.94192888206703</v>
      </c>
      <c r="K6" s="35">
        <f>'Income Statement -1'!K6/'Income Statement -1'!K3*100</f>
        <v>102.70277071746735</v>
      </c>
      <c r="L6" s="35">
        <f>'Income Statement -1'!L6/'Income Statement -1'!L3*100</f>
        <v>103.07615251372164</v>
      </c>
      <c r="M6" s="35">
        <f>'Income Statement -1'!M6/'Income Statement -1'!M3*100</f>
        <v>102.68874291370467</v>
      </c>
      <c r="N6" s="35">
        <f>'Income Statement -1'!N6/'Income Statement -1'!N3*100</f>
        <v>103.57916843539847</v>
      </c>
      <c r="O6" s="35">
        <f>'Income Statement -1'!O6/'Income Statement -1'!O3*100</f>
        <v>103.44836446797029</v>
      </c>
    </row>
    <row r="7" spans="1:15" s="33" customFormat="1" ht="27" customHeight="1">
      <c r="A7" s="28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1:15" s="33" customFormat="1" ht="27" customHeight="1">
      <c r="A8" s="31"/>
      <c r="B8" s="31" t="s">
        <v>23</v>
      </c>
      <c r="C8" s="34">
        <f>'Income Statement -1'!C8/'Income Statement -1'!C$3*100</f>
        <v>72.873515268058938</v>
      </c>
      <c r="D8" s="34">
        <f>'Income Statement -1'!D8/'Income Statement -1'!D$3*100</f>
        <v>74.837229904795421</v>
      </c>
      <c r="E8" s="34">
        <f>'Income Statement -1'!E8/'Income Statement -1'!E$3*100</f>
        <v>77.520252025202524</v>
      </c>
      <c r="F8" s="34">
        <f>'Income Statement -1'!F8/'Income Statement -1'!F$3*100</f>
        <v>77.811461776263187</v>
      </c>
      <c r="G8" s="34">
        <f>'Income Statement -1'!G8/'Income Statement -1'!G$3*100</f>
        <v>76.754877342090012</v>
      </c>
      <c r="H8" s="34">
        <f>'Income Statement -1'!H8/'Income Statement -1'!H$3*100</f>
        <v>76.678360468951453</v>
      </c>
      <c r="I8" s="34">
        <f>'Income Statement -1'!I8/'Income Statement -1'!I$3*100</f>
        <v>76.80158229662328</v>
      </c>
      <c r="J8" s="34">
        <f>'Income Statement -1'!J8/'Income Statement -1'!J$3*100</f>
        <v>75.719493476592476</v>
      </c>
      <c r="K8" s="34">
        <f>'Income Statement -1'!K8/'Income Statement -1'!K$3*100</f>
        <v>73.279311472934552</v>
      </c>
      <c r="L8" s="34">
        <f>'Income Statement -1'!L8/'Income Statement -1'!L$3*100</f>
        <v>73.754617359183584</v>
      </c>
      <c r="M8" s="34">
        <f>'Income Statement -1'!M8/'Income Statement -1'!M$3*100</f>
        <v>67.918653828849102</v>
      </c>
      <c r="N8" s="34">
        <f>'Income Statement -1'!N8/'Income Statement -1'!N$3*100</f>
        <v>68.819678723832084</v>
      </c>
      <c r="O8" s="34">
        <f>'Income Statement -1'!O8/'Income Statement -1'!O$3*100</f>
        <v>72.436210396484825</v>
      </c>
    </row>
    <row r="9" spans="1:15" s="33" customFormat="1" ht="27" customHeight="1">
      <c r="A9" s="31"/>
      <c r="B9" s="31" t="s">
        <v>24</v>
      </c>
      <c r="C9" s="34">
        <f>'Income Statement -1'!C9/'Income Statement -1'!C$3*100</f>
        <v>4.1299620834392927</v>
      </c>
      <c r="D9" s="34">
        <f>'Income Statement -1'!D9/'Income Statement -1'!D$3*100</f>
        <v>4.3603575177636333</v>
      </c>
      <c r="E9" s="34">
        <f>'Income Statement -1'!E9/'Income Statement -1'!E$3*100</f>
        <v>5.4734783823209909</v>
      </c>
      <c r="F9" s="34">
        <f>'Income Statement -1'!F9/'Income Statement -1'!F$3*100</f>
        <v>5.9592171819748332</v>
      </c>
      <c r="G9" s="34">
        <f>'Income Statement -1'!G9/'Income Statement -1'!G$3*100</f>
        <v>5.3042302491790618</v>
      </c>
      <c r="H9" s="34">
        <f>'Income Statement -1'!H9/'Income Statement -1'!H$3*100</f>
        <v>4.9713651764564784</v>
      </c>
      <c r="I9" s="34">
        <f>'Income Statement -1'!I9/'Income Statement -1'!I$3*100</f>
        <v>5.1109327523935102</v>
      </c>
      <c r="J9" s="34">
        <f>'Income Statement -1'!J9/'Income Statement -1'!J$3*100</f>
        <v>5.2570990023023789</v>
      </c>
      <c r="K9" s="34">
        <f>'Income Statement -1'!K9/'Income Statement -1'!K$3*100</f>
        <v>3.9937589651961645</v>
      </c>
      <c r="L9" s="34">
        <f>'Income Statement -1'!L9/'Income Statement -1'!L$3*100</f>
        <v>3.9902331114218335</v>
      </c>
      <c r="M9" s="34">
        <f>'Income Statement -1'!M9/'Income Statement -1'!M$3*100</f>
        <v>3.9179339512282909</v>
      </c>
      <c r="N9" s="34">
        <f>'Income Statement -1'!N9/'Income Statement -1'!N$3*100</f>
        <v>5.1162894613373844</v>
      </c>
      <c r="O9" s="34">
        <f>'Income Statement -1'!O9/'Income Statement -1'!O$3*100</f>
        <v>5.9382789012513815</v>
      </c>
    </row>
    <row r="10" spans="1:15" s="33" customFormat="1" ht="27" customHeight="1">
      <c r="A10" s="31"/>
      <c r="B10" s="31" t="s">
        <v>25</v>
      </c>
      <c r="C10" s="34">
        <f>'Income Statement -1'!C10/'Income Statement -1'!C$3*100</f>
        <v>8.8485309118547111</v>
      </c>
      <c r="D10" s="34">
        <f>'Income Statement -1'!D10/'Income Statement -1'!D$3*100</f>
        <v>8.3275183097395082</v>
      </c>
      <c r="E10" s="34">
        <f>'Income Statement -1'!E10/'Income Statement -1'!E$3*100</f>
        <v>9.2460970234954516</v>
      </c>
      <c r="F10" s="34">
        <f>'Income Statement -1'!F10/'Income Statement -1'!F$3*100</f>
        <v>9.7599979476040417</v>
      </c>
      <c r="G10" s="34">
        <f>'Income Statement -1'!G10/'Income Statement -1'!G$3*100</f>
        <v>9.8705814178095412</v>
      </c>
      <c r="H10" s="34">
        <f>'Income Statement -1'!H10/'Income Statement -1'!H$3*100</f>
        <v>8.8003358220143326</v>
      </c>
      <c r="I10" s="34">
        <f>'Income Statement -1'!I10/'Income Statement -1'!I$3*100</f>
        <v>8.6882990311299668</v>
      </c>
      <c r="J10" s="34">
        <f>'Income Statement -1'!J10/'Income Statement -1'!J$3*100</f>
        <v>9.2031210028140187</v>
      </c>
      <c r="K10" s="34">
        <f>'Income Statement -1'!K10/'Income Statement -1'!K$3*100</f>
        <v>7.2652691446259157</v>
      </c>
      <c r="L10" s="34">
        <f>'Income Statement -1'!L10/'Income Statement -1'!L$3*100</f>
        <v>6.54673706617693</v>
      </c>
      <c r="M10" s="34">
        <f>'Income Statement -1'!M10/'Income Statement -1'!M$3*100</f>
        <v>6.4986952218122926</v>
      </c>
      <c r="N10" s="34">
        <f>'Income Statement -1'!N10/'Income Statement -1'!N$3*100</f>
        <v>8.4698049554279589</v>
      </c>
      <c r="O10" s="34">
        <f>'Income Statement -1'!O10/'Income Statement -1'!O$3*100</f>
        <v>9.9082663103528024</v>
      </c>
    </row>
    <row r="11" spans="1:15" s="33" customFormat="1" ht="27" customHeight="1">
      <c r="A11" s="31"/>
      <c r="B11" s="31" t="s">
        <v>9</v>
      </c>
      <c r="C11" s="34">
        <f>'Income Statement -1'!C11/'Income Statement -1'!C$3*100</f>
        <v>0.84890807734178342</v>
      </c>
      <c r="D11" s="34">
        <f>'Income Statement -1'!D11/'Income Statement -1'!D$3*100</f>
        <v>0.8780179972451958</v>
      </c>
      <c r="E11" s="34">
        <f>'Income Statement -1'!E11/'Income Statement -1'!E$3*100</f>
        <v>1.0583817002389895</v>
      </c>
      <c r="F11" s="34">
        <f>'Income Statement -1'!F11/'Income Statement -1'!F$3*100</f>
        <v>1.0710941408371211</v>
      </c>
      <c r="G11" s="34">
        <f>'Income Statement -1'!G11/'Income Statement -1'!G$3*100</f>
        <v>1.0198956924859959</v>
      </c>
      <c r="H11" s="34">
        <f>'Income Statement -1'!H11/'Income Statement -1'!H$3*100</f>
        <v>0.89352643099157447</v>
      </c>
      <c r="I11" s="34">
        <f>'Income Statement -1'!I11/'Income Statement -1'!I$3*100</f>
        <v>0.73381872384337554</v>
      </c>
      <c r="J11" s="34">
        <f>'Income Statement -1'!J11/'Income Statement -1'!J$3*100</f>
        <v>1.0520593502174469</v>
      </c>
      <c r="K11" s="34">
        <f>'Income Statement -1'!K11/'Income Statement -1'!K$3*100</f>
        <v>0.92608903540780629</v>
      </c>
      <c r="L11" s="34">
        <f>'Income Statement -1'!L11/'Income Statement -1'!L$3*100</f>
        <v>0.81390738151386777</v>
      </c>
      <c r="M11" s="34">
        <f>'Income Statement -1'!M11/'Income Statement -1'!M$3*100</f>
        <v>0.73967425537658604</v>
      </c>
      <c r="N11" s="34">
        <f>'Income Statement -1'!N11/'Income Statement -1'!N$3*100</f>
        <v>0.88473826492995822</v>
      </c>
      <c r="O11" s="34">
        <f>'Income Statement -1'!O11/'Income Statement -1'!O$3*100</f>
        <v>0.95588046355063339</v>
      </c>
    </row>
    <row r="12" spans="1:15" s="33" customFormat="1" ht="27" customHeight="1">
      <c r="A12" s="31"/>
      <c r="B12" s="31" t="s">
        <v>10</v>
      </c>
      <c r="C12" s="34">
        <f>'Income Statement -1'!C12/'Income Statement -1'!C$3*100</f>
        <v>0.57917760779932503</v>
      </c>
      <c r="D12" s="34">
        <f>'Income Statement -1'!D12/'Income Statement -1'!D$3*100</f>
        <v>0.64349556743505887</v>
      </c>
      <c r="E12" s="34">
        <f>'Income Statement -1'!E12/'Income Statement -1'!E$3*100</f>
        <v>0.79456221484217393</v>
      </c>
      <c r="F12" s="34">
        <f>'Income Statement -1'!F12/'Income Statement -1'!F$3*100</f>
        <v>0.92614367626874428</v>
      </c>
      <c r="G12" s="34">
        <f>'Income Statement -1'!G12/'Income Statement -1'!G$3*100</f>
        <v>0.90399845470349616</v>
      </c>
      <c r="H12" s="34">
        <f>'Income Statement -1'!H12/'Income Statement -1'!H$3*100</f>
        <v>0.89952325267608157</v>
      </c>
      <c r="I12" s="34">
        <f>'Income Statement -1'!I12/'Income Statement -1'!I$3*100</f>
        <v>0.96313707504443036</v>
      </c>
      <c r="J12" s="34">
        <f>'Income Statement -1'!J12/'Income Statement -1'!J$3*100</f>
        <v>0.79304169864415452</v>
      </c>
      <c r="K12" s="34">
        <f>'Income Statement -1'!K12/'Income Statement -1'!K$3*100</f>
        <v>0.54609054533558143</v>
      </c>
      <c r="L12" s="34">
        <f>'Income Statement -1'!L12/'Income Statement -1'!L$3*100</f>
        <v>0.62399565916063193</v>
      </c>
      <c r="M12" s="34">
        <f>'Income Statement -1'!M12/'Income Statement -1'!M$3*100</f>
        <v>1.2363898137316656</v>
      </c>
      <c r="N12" s="34">
        <f>'Income Statement -1'!N12/'Income Statement -1'!N$3*100</f>
        <v>1.4298800241292253</v>
      </c>
      <c r="O12" s="34">
        <f>'Income Statement -1'!O12/'Income Statement -1'!O$3*100</f>
        <v>1.0638024513708662</v>
      </c>
    </row>
    <row r="13" spans="1:15" s="33" customFormat="1" ht="27" customHeight="1">
      <c r="A13" s="31"/>
      <c r="B13" s="31" t="s">
        <v>26</v>
      </c>
      <c r="C13" s="34">
        <f>'Income Statement -1'!C13/'Income Statement -1'!C$3*100</f>
        <v>1.3352229705210885</v>
      </c>
      <c r="D13" s="34">
        <f>'Income Statement -1'!D13/'Income Statement -1'!D$3*100</f>
        <v>1.3091387899492122</v>
      </c>
      <c r="E13" s="34">
        <f>'Income Statement -1'!E13/'Income Statement -1'!E$3*100</f>
        <v>1.4901921226605421</v>
      </c>
      <c r="F13" s="34">
        <f>'Income Statement -1'!F13/'Income Statement -1'!F$3*100</f>
        <v>1.0424461139165275</v>
      </c>
      <c r="G13" s="34">
        <f>'Income Statement -1'!G13/'Income Statement -1'!G$3*100</f>
        <v>1.1396561715279119</v>
      </c>
      <c r="H13" s="34">
        <f>'Income Statement -1'!H13/'Income Statement -1'!H$3*100</f>
        <v>0.94449941530988579</v>
      </c>
      <c r="I13" s="34">
        <f>'Income Statement -1'!I13/'Income Statement -1'!I$3*100</f>
        <v>0.85707733761394256</v>
      </c>
      <c r="J13" s="34">
        <f>'Income Statement -1'!J13/'Income Statement -1'!J$3*100</f>
        <v>0.8889741621898184</v>
      </c>
      <c r="K13" s="34">
        <f>'Income Statement -1'!K13/'Income Statement -1'!K$3*100</f>
        <v>0.45549487882829603</v>
      </c>
      <c r="L13" s="34">
        <f>'Income Statement -1'!L13/'Income Statement -1'!L$3*100</f>
        <v>0.73042970135859919</v>
      </c>
      <c r="M13" s="34">
        <f>'Income Statement -1'!M13/'Income Statement -1'!M$3*100</f>
        <v>0.39053360928642128</v>
      </c>
      <c r="N13" s="34">
        <f>'Income Statement -1'!N13/'Income Statement -1'!N$3*100</f>
        <v>0.29714694251435469</v>
      </c>
      <c r="O13" s="34">
        <f>'Income Statement -1'!O13/'Income Statement -1'!O$3*100</f>
        <v>-7.4517563018732177E-2</v>
      </c>
    </row>
    <row r="14" spans="1:15" s="33" customFormat="1" ht="27" customHeight="1">
      <c r="A14" s="28"/>
      <c r="B14" s="28" t="s">
        <v>4</v>
      </c>
      <c r="C14" s="35">
        <f>'Income Statement -1'!C14/'Income Statement -1'!C$3*100</f>
        <v>88.615316919015143</v>
      </c>
      <c r="D14" s="35">
        <f>'Income Statement -1'!D14/'Income Statement -1'!D$3*100</f>
        <v>90.355758086928034</v>
      </c>
      <c r="E14" s="35">
        <f>'Income Statement -1'!E14/'Income Statement -1'!E$3*100</f>
        <v>95.582963468760653</v>
      </c>
      <c r="F14" s="35">
        <f>'Income Statement -1'!F14/'Income Statement -1'!F$3*100</f>
        <v>96.570360836864438</v>
      </c>
      <c r="G14" s="35">
        <f>'Income Statement -1'!G14/'Income Statement -1'!G$3*100</f>
        <v>94.993239327796019</v>
      </c>
      <c r="H14" s="35">
        <f>'Income Statement -1'!H14/'Income Statement -1'!H$3*100</f>
        <v>93.187610566399798</v>
      </c>
      <c r="I14" s="35">
        <f>'Income Statement -1'!I14/'Income Statement -1'!I$3*100</f>
        <v>93.15484721664852</v>
      </c>
      <c r="J14" s="35">
        <f>'Income Statement -1'!J14/'Income Statement -1'!J$3*100</f>
        <v>92.913788692760306</v>
      </c>
      <c r="K14" s="35">
        <f>'Income Statement -1'!K14/'Income Statement -1'!K$3*100</f>
        <v>86.466014042328311</v>
      </c>
      <c r="L14" s="35">
        <f>'Income Statement -1'!L14/'Income Statement -1'!L$3*100</f>
        <v>86.459920278815446</v>
      </c>
      <c r="M14" s="35">
        <f>'Income Statement -1'!M14/'Income Statement -1'!M$3*100</f>
        <v>80.701880680284361</v>
      </c>
      <c r="N14" s="35">
        <f>'Income Statement -1'!N14/'Income Statement -1'!N$3*100</f>
        <v>85.017538372170961</v>
      </c>
      <c r="O14" s="35">
        <f>'Income Statement -1'!O14/'Income Statement -1'!O$3*100</f>
        <v>90.227920959991778</v>
      </c>
    </row>
    <row r="15" spans="1:15" s="33" customFormat="1" ht="27" customHeight="1">
      <c r="A15" s="31" t="s">
        <v>181</v>
      </c>
      <c r="B15" s="31"/>
      <c r="C15" s="37">
        <f>'Income Statement -1'!C15/'Income Statement -1'!C$3*100</f>
        <v>13.184505356035656</v>
      </c>
      <c r="D15" s="37">
        <f>'Income Statement -1'!D15/'Income Statement -1'!D$3*100</f>
        <v>11.765259127564418</v>
      </c>
      <c r="E15" s="37">
        <f>'Income Statement -1'!E15/'Income Statement -1'!E$3*100</f>
        <v>7.0540674757131052</v>
      </c>
      <c r="F15" s="37">
        <f>'Income Statement -1'!F15/'Income Statement -1'!F$3*100</f>
        <v>6.4859988113206795</v>
      </c>
      <c r="G15" s="37">
        <f>'Income Statement -1'!G15/'Income Statement -1'!G$3*100</f>
        <v>9.3992659841607118</v>
      </c>
      <c r="H15" s="37">
        <f>'Income Statement -1'!H15/'Income Statement -1'!H$3*100</f>
        <v>9.8137986866960514</v>
      </c>
      <c r="I15" s="37">
        <f>'Income Statement -1'!I15/'Income Statement -1'!I$3*100</f>
        <v>9.7087656939746605</v>
      </c>
      <c r="J15" s="37">
        <f>'Income Statement -1'!J15/'Income Statement -1'!J$3*100</f>
        <v>10.028140189306727</v>
      </c>
      <c r="K15" s="37">
        <f>'Income Statement -1'!K15/'Income Statement -1'!K$3*100</f>
        <v>16.236756675139038</v>
      </c>
      <c r="L15" s="37">
        <f>'Income Statement -1'!L15/'Income Statement -1'!L$3*100</f>
        <v>16.616232234906192</v>
      </c>
      <c r="M15" s="37">
        <f>'Income Statement -1'!M15/'Income Statement -1'!M$3*100</f>
        <v>21.986862233420318</v>
      </c>
      <c r="N15" s="37">
        <f>'Income Statement -1'!N15/'Income Statement -1'!N$3*100</f>
        <v>18.561630063227508</v>
      </c>
      <c r="O15" s="37">
        <f>'Income Statement -1'!O15/'Income Statement -1'!O$3*100</f>
        <v>13.220443507978519</v>
      </c>
    </row>
    <row r="16" spans="1:15" s="33" customFormat="1" ht="27" customHeight="1">
      <c r="A16" s="29"/>
      <c r="B16" s="29" t="s">
        <v>12</v>
      </c>
      <c r="C16" s="36">
        <f>'Income Statement -1'!C16/'Income Statement -1'!C$3*100</f>
        <v>4.6879955654482126</v>
      </c>
      <c r="D16" s="36">
        <f>'Income Statement -1'!D16/'Income Statement -1'!D$3*100</f>
        <v>4.0339071497484875</v>
      </c>
      <c r="E16" s="36">
        <f>'Income Statement -1'!E16/'Income Statement -1'!E$3*100</f>
        <v>1.9782581706446507</v>
      </c>
      <c r="F16" s="36">
        <f>'Income Statement -1'!F16/'Income Statement -1'!F$3*100</f>
        <v>1.9626036353063414</v>
      </c>
      <c r="G16" s="36">
        <f>'Income Statement -1'!G16/'Income Statement -1'!G$3*100</f>
        <v>2.8047131543364885</v>
      </c>
      <c r="H16" s="36">
        <f>'Income Statement -1'!H16/'Income Statement -1'!H$3*100</f>
        <v>5.6040298641719888</v>
      </c>
      <c r="I16" s="36">
        <f>'Income Statement -1'!I16/'Income Statement -1'!I$3*100</f>
        <v>1.9750042997190849</v>
      </c>
      <c r="J16" s="36">
        <f>'Income Statement -1'!J16/'Income Statement -1'!J$3*100</f>
        <v>2.8747761575850599</v>
      </c>
      <c r="K16" s="36">
        <f>'Income Statement -1'!K16/'Income Statement -1'!K$3*100</f>
        <v>3.4879331605304884</v>
      </c>
      <c r="L16" s="36">
        <f>'Income Statement -1'!L16/'Income Statement -1'!L$3*100</f>
        <v>3.5853663626687813</v>
      </c>
      <c r="M16" s="36">
        <f>'Income Statement -1'!M16/'Income Statement -1'!M$3*100</f>
        <v>4.8321785296499593</v>
      </c>
      <c r="N16" s="36">
        <f>'Income Statement -1'!N16/'Income Statement -1'!N$3*100</f>
        <v>4.2159118836435132</v>
      </c>
      <c r="O16" s="36">
        <f>'Income Statement -1'!O16/'Income Statement -1'!O$3*100</f>
        <v>2.6209625613485112</v>
      </c>
    </row>
    <row r="17" spans="1:18" s="33" customFormat="1" ht="27" customHeight="1">
      <c r="A17" s="31" t="s">
        <v>182</v>
      </c>
      <c r="B17" s="31"/>
      <c r="C17" s="35">
        <f>'Income Statement -1'!C17/'Income Statement -1'!C$3*100</f>
        <v>8.496509790587444</v>
      </c>
      <c r="D17" s="35">
        <f>'Income Statement -1'!D17/'Income Statement -1'!D$3*100</f>
        <v>7.7313519778159314</v>
      </c>
      <c r="E17" s="35">
        <f>'Income Statement -1'!E17/'Income Statement -1'!E$3*100</f>
        <v>5.0758093050684545</v>
      </c>
      <c r="F17" s="35">
        <f>'Income Statement -1'!F17/'Income Statement -1'!F$3*100</f>
        <v>4.5233951760143389</v>
      </c>
      <c r="G17" s="35">
        <f>'Income Statement -1'!G17/'Income Statement -1'!G$3*100</f>
        <v>6.5945528298242229</v>
      </c>
      <c r="H17" s="35">
        <f>'Income Statement -1'!H17/'Income Statement -1'!H$3*100</f>
        <v>4.2097688225240626</v>
      </c>
      <c r="I17" s="35">
        <f>'Income Statement -1'!I17/'Income Statement -1'!I$3*100</f>
        <v>7.7337613942555752</v>
      </c>
      <c r="J17" s="35">
        <f>'Income Statement -1'!J17/'Income Statement -1'!J$3*100</f>
        <v>7.1533640317216678</v>
      </c>
      <c r="K17" s="35">
        <f>'Income Statement -1'!K17/'Income Statement -1'!K$3*100</f>
        <v>12.748823514608551</v>
      </c>
      <c r="L17" s="35">
        <f>'Income Statement -1'!L17/'Income Statement -1'!L$3*100</f>
        <v>13.03086587223741</v>
      </c>
      <c r="M17" s="35">
        <f>'Income Statement -1'!M17/'Income Statement -1'!M$3*100</f>
        <v>17.15468370377036</v>
      </c>
      <c r="N17" s="35">
        <f>'Income Statement -1'!N17/'Income Statement -1'!N$3*100</f>
        <v>14.345718179583994</v>
      </c>
      <c r="O17" s="35">
        <f>'Income Statement -1'!O17/'Income Statement -1'!O$3*100</f>
        <v>10.599480946630008</v>
      </c>
    </row>
    <row r="18" spans="1:18" s="33" customFormat="1" ht="27" customHeight="1">
      <c r="A18" s="31"/>
      <c r="B18" s="31" t="s">
        <v>183</v>
      </c>
      <c r="C18" s="36">
        <f>'Income Statement -1'!C18/'Income Statement -1'!C$3*100</f>
        <v>-2.8573142960006169E-3</v>
      </c>
      <c r="D18" s="36">
        <f>'Income Statement -1'!D18/'Income Statement -1'!D$3*100</f>
        <v>-2.7305328179705469E-2</v>
      </c>
      <c r="E18" s="36">
        <f>'Income Statement -1'!E18/'Income Statement -1'!E$3*100</f>
        <v>-1.1639094943977156E-3</v>
      </c>
      <c r="F18" s="36">
        <f>'Income Statement -1'!F18/'Income Statement -1'!F$3*100</f>
        <v>-1.7103299654085764E-2</v>
      </c>
      <c r="G18" s="36">
        <f>'Income Statement -1'!G18/'Income Statement -1'!G$3*100</f>
        <v>-9.658103148541626E-2</v>
      </c>
      <c r="H18" s="36">
        <f>'Income Statement -1'!H18/'Income Statement -1'!H$3*100</f>
        <v>7.496027105634015E-2</v>
      </c>
      <c r="I18" s="36">
        <f>'Income Statement -1'!I18/'Income Statement -1'!I$3*100</f>
        <v>5.7329587800263718E-2</v>
      </c>
      <c r="J18" s="36">
        <f>'Income Statement -1'!J18/'Income Statement -1'!J$3*100</f>
        <v>-0.15988743924277307</v>
      </c>
      <c r="K18" s="36">
        <f>'Income Statement -1'!K18/'Income Statement -1'!K$3*100</f>
        <v>4.52978332536427E-2</v>
      </c>
      <c r="L18" s="36">
        <f>'Income Statement -1'!L18/'Income Statement -1'!L$3*100</f>
        <v>1.2521652023290272E-2</v>
      </c>
      <c r="M18" s="36">
        <f>'Income Statement -1'!M18/'Income Statement -1'!M$3*100</f>
        <v>7.1987762080446332E-3</v>
      </c>
      <c r="N18" s="36">
        <f>'Income Statement -1'!N18/'Income Statement -1'!N$3*100</f>
        <v>-6.4791438593355524E-2</v>
      </c>
      <c r="O18" s="36">
        <f>'Income Statement -1'!O18/'Income Statement -1'!O$3*100</f>
        <v>-4.3682709355808515E-2</v>
      </c>
    </row>
    <row r="19" spans="1:18" s="33" customFormat="1" ht="27" customHeight="1">
      <c r="A19" s="31" t="s">
        <v>14</v>
      </c>
      <c r="B19" s="31"/>
      <c r="C19" s="37">
        <f>'Income Statement -1'!C19/'Income Statement -1'!C$3*100</f>
        <v>8.4936524762914427</v>
      </c>
      <c r="D19" s="37">
        <f>'Income Statement -1'!D19/'Income Statement -1'!D$3*100</f>
        <v>7.7040466496362257</v>
      </c>
      <c r="E19" s="37">
        <f>'Income Statement -1'!E19/'Income Statement -1'!E$3*100</f>
        <v>5.0746453955740565</v>
      </c>
      <c r="F19" s="37">
        <f>'Income Statement -1'!F19/'Income Statement -1'!F$3*100</f>
        <v>4.5062918763602529</v>
      </c>
      <c r="G19" s="37">
        <f>'Income Statement -1'!G19/'Income Statement -1'!G$3*100</f>
        <v>6.4979717983388054</v>
      </c>
      <c r="H19" s="37">
        <f>'Income Statement -1'!H19/'Income Statement -1'!H$3*100</f>
        <v>4.2847290935804017</v>
      </c>
      <c r="I19" s="37">
        <f>'Income Statement -1'!I19/'Income Statement -1'!I$3*100</f>
        <v>7.7910909820558389</v>
      </c>
      <c r="J19" s="37">
        <f>'Income Statement -1'!J19/'Income Statement -1'!J$3*100</f>
        <v>6.9934765924788946</v>
      </c>
      <c r="K19" s="37">
        <f>'Income Statement -1'!K19/'Income Statement -1'!K$3*100</f>
        <v>12.794121347862195</v>
      </c>
      <c r="L19" s="37">
        <f>'Income Statement -1'!L19/'Income Statement -1'!L$3*100</f>
        <v>13.0433875242607</v>
      </c>
      <c r="M19" s="37">
        <f>'Income Statement -1'!M19/'Income Statement -1'!M$3*100</f>
        <v>17.161882479978406</v>
      </c>
      <c r="N19" s="37">
        <f>'Income Statement -1'!N19/'Income Statement -1'!N$3*100</f>
        <v>14.280926740990637</v>
      </c>
      <c r="O19" s="37">
        <f>'Income Statement -1'!O19/'Income Statement -1'!O$3*100</f>
        <v>10.555798237274198</v>
      </c>
    </row>
    <row r="20" spans="1:18" s="33" customFormat="1" ht="27" customHeight="1">
      <c r="A20" s="29"/>
      <c r="B20" s="38" t="s">
        <v>15</v>
      </c>
      <c r="C20" s="36">
        <f>'Income Statement -1'!C20/'Income Statement -1'!C$3*100</f>
        <v>2.8573142960006169E-3</v>
      </c>
      <c r="D20" s="36">
        <f>'Income Statement -1'!D20/'Income Statement -1'!D$3*100</f>
        <v>6.0678507066012147E-3</v>
      </c>
      <c r="E20" s="36">
        <f>'Income Statement -1'!E20/'Income Statement -1'!E$3*100</f>
        <v>3.4917284831931469E-3</v>
      </c>
      <c r="F20" s="36">
        <f>'Income Statement -1'!F20/'Income Statement -1'!F$3*100</f>
        <v>-1.026197979245146E-2</v>
      </c>
      <c r="G20" s="36">
        <f>'Income Statement -1'!G20/'Income Statement -1'!G$3*100</f>
        <v>0</v>
      </c>
      <c r="H20" s="36">
        <f>'Income Statement -1'!H20/'Income Statement -1'!H$3*100</f>
        <v>8.9952325267608178E-3</v>
      </c>
      <c r="I20" s="36">
        <f>'Income Statement -1'!I20/'Income Statement -1'!I$3*100</f>
        <v>1.1465917560052743E-2</v>
      </c>
      <c r="J20" s="36">
        <f>'Income Statement -1'!J20/'Income Statement -1'!J$3*100</f>
        <v>6.3954975697109243E-3</v>
      </c>
      <c r="K20" s="36">
        <f>'Income Statement -1'!K20/'Income Statement -1'!K$3*100</f>
        <v>5.0330925837380781E-3</v>
      </c>
      <c r="L20" s="36">
        <f>'Income Statement -1'!L20/'Income Statement -1'!L$3*100</f>
        <v>-2.0869420038817118E-3</v>
      </c>
      <c r="M20" s="36">
        <f>'Income Statement -1'!M20/'Income Statement -1'!M$3*100</f>
        <v>-1.9796634572122739E-2</v>
      </c>
      <c r="N20" s="36">
        <f>'Income Statement -1'!N20/'Income Statement -1'!N$3*100</f>
        <v>-2.6810250452422978E-2</v>
      </c>
      <c r="O20" s="36">
        <f>'Income Statement -1'!O20/'Income Statement -1'!O$3*100</f>
        <v>-7.4517563018732177E-2</v>
      </c>
    </row>
    <row r="21" spans="1:18" s="33" customFormat="1" ht="27" customHeight="1">
      <c r="A21" s="28" t="s">
        <v>16</v>
      </c>
      <c r="B21" s="28"/>
      <c r="C21" s="49">
        <f>'Income Statement -1'!C21/'Income Statement -1'!C$3</f>
        <v>8.490795161995443E-2</v>
      </c>
      <c r="D21" s="49">
        <f>'Income Statement -1'!D21/'Income Statement -1'!D$3</f>
        <v>7.697978798929625E-2</v>
      </c>
      <c r="E21" s="49">
        <f>'Income Statement -1'!E21/'Income Statement -1'!E$3</f>
        <v>5.0711536670908636E-2</v>
      </c>
      <c r="F21" s="49">
        <f>'Income Statement -1'!F21/'Income Statement -1'!F$3</f>
        <v>4.5165538561527052E-2</v>
      </c>
      <c r="G21" s="49">
        <f>'Income Statement -1'!G21/'Income Statement -1'!G$3</f>
        <v>6.4979717983388058E-2</v>
      </c>
      <c r="H21" s="49">
        <f>'Income Statement -1'!H21/'Income Statement -1'!H$3</f>
        <v>4.2757338610536419E-2</v>
      </c>
      <c r="I21" s="49">
        <f>'Income Statement -1'!I21/'Income Statement -1'!I$3</f>
        <v>7.7796250644957862E-2</v>
      </c>
      <c r="J21" s="49">
        <f>'Income Statement -1'!J21/'Income Statement -1'!J$3</f>
        <v>6.9870810949091838E-2</v>
      </c>
      <c r="K21" s="49">
        <f>'Income Statement -1'!K21/'Income Statement -1'!K$3</f>
        <v>0.12789088255278455</v>
      </c>
      <c r="L21" s="49">
        <f>'Income Statement -1'!L21/'Income Statement -1'!L$3</f>
        <v>0.13045474466264584</v>
      </c>
      <c r="M21" s="49">
        <f>'Income Statement -1'!M21/'Income Statement -1'!M$3</f>
        <v>0.17181679114550527</v>
      </c>
      <c r="N21" s="49">
        <f>'Income Statement -1'!N21/'Income Statement -1'!N$3</f>
        <v>0.14307736991443062</v>
      </c>
      <c r="O21" s="49">
        <f>'Income Statement -1'!O21/'Income Statement -1'!O$3</f>
        <v>0.1063031580029293</v>
      </c>
    </row>
    <row r="22" spans="1:18" s="33" customFormat="1" ht="27" customHeight="1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</row>
    <row r="23" spans="1:18" s="33" customFormat="1" ht="27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</row>
    <row r="24" spans="1:18" s="33" customFormat="1" ht="32.25" customHeight="1">
      <c r="A24" s="41" t="s">
        <v>27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8" s="33" customFormat="1" ht="27" customHeight="1">
      <c r="A25" s="29" t="s">
        <v>28</v>
      </c>
      <c r="B25" s="29"/>
      <c r="C25" s="43">
        <v>2013</v>
      </c>
      <c r="D25" s="43">
        <v>2014</v>
      </c>
      <c r="E25" s="43">
        <v>2015</v>
      </c>
      <c r="F25" s="43">
        <v>2016</v>
      </c>
      <c r="G25" s="43">
        <v>2017</v>
      </c>
      <c r="H25" s="43">
        <v>2018</v>
      </c>
      <c r="I25" s="43">
        <v>2019</v>
      </c>
      <c r="J25" s="43">
        <v>2020</v>
      </c>
      <c r="K25" s="43">
        <v>2021</v>
      </c>
      <c r="L25" s="43">
        <v>2022</v>
      </c>
      <c r="M25" s="43">
        <v>2023</v>
      </c>
      <c r="N25" s="43">
        <v>2024</v>
      </c>
      <c r="O25" s="43">
        <v>2024</v>
      </c>
    </row>
    <row r="26" spans="1:18" s="33" customFormat="1" ht="27" customHeight="1">
      <c r="A26" s="31"/>
      <c r="B26" s="31" t="s">
        <v>29</v>
      </c>
      <c r="C26" s="44">
        <v>29132</v>
      </c>
      <c r="D26" s="44">
        <v>26380</v>
      </c>
      <c r="E26" s="44">
        <v>19812</v>
      </c>
      <c r="F26" s="44">
        <v>18487</v>
      </c>
      <c r="G26" s="44">
        <v>20167</v>
      </c>
      <c r="H26" s="44">
        <v>23191</v>
      </c>
      <c r="I26" s="44">
        <v>23666</v>
      </c>
      <c r="J26" s="44">
        <v>22325</v>
      </c>
      <c r="K26" s="44"/>
      <c r="L26" s="44"/>
      <c r="M26" s="44"/>
      <c r="N26" s="44"/>
      <c r="O26" s="44"/>
    </row>
    <row r="27" spans="1:18" s="33" customFormat="1" ht="27" customHeight="1">
      <c r="A27" s="31"/>
      <c r="B27" s="31" t="s">
        <v>30</v>
      </c>
      <c r="C27" s="44"/>
      <c r="D27" s="44"/>
      <c r="E27" s="44"/>
      <c r="F27" s="44"/>
      <c r="G27" s="44"/>
      <c r="H27" s="45">
        <v>13086</v>
      </c>
      <c r="I27" s="45">
        <v>13364</v>
      </c>
      <c r="J27" s="45">
        <v>12962</v>
      </c>
      <c r="K27" s="44">
        <v>16509</v>
      </c>
      <c r="L27" s="44">
        <v>22002</v>
      </c>
      <c r="M27" s="44">
        <v>26790</v>
      </c>
      <c r="N27" s="44">
        <v>20834</v>
      </c>
      <c r="O27" s="44">
        <v>17311</v>
      </c>
      <c r="R27" s="140"/>
    </row>
    <row r="28" spans="1:18" s="33" customFormat="1" ht="27" customHeight="1">
      <c r="A28" s="31"/>
      <c r="B28" s="31" t="s">
        <v>31</v>
      </c>
      <c r="C28" s="46"/>
      <c r="D28" s="46"/>
      <c r="E28" s="46"/>
      <c r="F28" s="46"/>
      <c r="G28" s="46"/>
      <c r="H28" s="45">
        <v>10105</v>
      </c>
      <c r="I28" s="45">
        <v>10302</v>
      </c>
      <c r="J28" s="45">
        <v>9363</v>
      </c>
      <c r="K28" s="46">
        <v>11860</v>
      </c>
      <c r="L28" s="46">
        <v>13381</v>
      </c>
      <c r="M28" s="46">
        <v>13980</v>
      </c>
      <c r="N28" s="46">
        <v>10969</v>
      </c>
      <c r="O28" s="46">
        <v>10224</v>
      </c>
      <c r="R28" s="140"/>
    </row>
    <row r="29" spans="1:18" s="33" customFormat="1" ht="27" customHeight="1">
      <c r="A29" s="31"/>
      <c r="B29" s="31" t="s">
        <v>32</v>
      </c>
      <c r="C29" s="46">
        <v>5866</v>
      </c>
      <c r="D29" s="46">
        <v>6581</v>
      </c>
      <c r="E29" s="46">
        <v>5963</v>
      </c>
      <c r="F29" s="46">
        <v>4900</v>
      </c>
      <c r="G29" s="46">
        <v>5718</v>
      </c>
      <c r="H29" s="46">
        <v>10160</v>
      </c>
      <c r="I29" s="46">
        <v>11220</v>
      </c>
      <c r="J29" s="46">
        <v>8947</v>
      </c>
      <c r="K29" s="46">
        <v>11368</v>
      </c>
      <c r="L29" s="46">
        <v>12534</v>
      </c>
      <c r="M29" s="46">
        <v>14795</v>
      </c>
      <c r="N29" s="46">
        <v>12956</v>
      </c>
      <c r="O29" s="46">
        <v>11382</v>
      </c>
      <c r="R29" s="140"/>
    </row>
    <row r="30" spans="1:18" s="33" customFormat="1" ht="27" customHeight="1">
      <c r="A30" s="28"/>
      <c r="B30" s="28" t="s">
        <v>33</v>
      </c>
      <c r="C30" s="47">
        <v>34998</v>
      </c>
      <c r="D30" s="47">
        <v>32961</v>
      </c>
      <c r="E30" s="47">
        <v>25775</v>
      </c>
      <c r="F30" s="47">
        <v>23387</v>
      </c>
      <c r="G30" s="47">
        <v>25885</v>
      </c>
      <c r="H30" s="47">
        <v>33351</v>
      </c>
      <c r="I30" s="47">
        <v>34886</v>
      </c>
      <c r="J30" s="47">
        <v>31272</v>
      </c>
      <c r="K30" s="47">
        <v>39737</v>
      </c>
      <c r="L30" s="47">
        <f>SUM(L26:L29)</f>
        <v>47917</v>
      </c>
      <c r="M30" s="47">
        <f>SUM(M26:M29)</f>
        <v>55565</v>
      </c>
      <c r="N30" s="47">
        <f>SUM(N26:N29)</f>
        <v>44759</v>
      </c>
      <c r="O30" s="47">
        <f>SUM(O26:O29)</f>
        <v>38917</v>
      </c>
    </row>
    <row r="31" spans="1:18" s="33" customFormat="1" ht="27" customHeight="1">
      <c r="A31" s="151" t="s">
        <v>34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</row>
    <row r="32" spans="1:18" ht="26.25" customHeight="1">
      <c r="A32" s="152" t="s">
        <v>35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</row>
  </sheetData>
  <mergeCells count="2">
    <mergeCell ref="A31:L31"/>
    <mergeCell ref="A32:L32"/>
  </mergeCells>
  <pageMargins left="0.5" right="0.5" top="0.5" bottom="0.5" header="0.5" footer="0.25"/>
  <pageSetup scale="27" firstPageNumber="4" orientation="landscape" useFirstPageNumber="1" r:id="rId1"/>
  <headerFooter alignWithMargins="0">
    <oddFooter>&amp;R&amp;"Calibri"&amp;11&amp;K000000&amp;"Calibri"&amp;11&amp;K000000&amp;"Calibri"&amp;11&amp;K000000&amp;12&amp;A_x000D_&amp;1#&amp;"Calibri"&amp;10&amp;KFF0000Company Use</oddFooter>
  </headerFooter>
  <customProperties>
    <customPr name="_pios_id" r:id="rId2"/>
    <customPr name="EpmWorksheetKeyString_GUID" r:id="rId3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17B61-7CA7-43AB-9125-5E3B39191CBD}">
  <sheetPr>
    <tabColor theme="9" tint="0.79998168889431442"/>
    <pageSetUpPr fitToPage="1"/>
  </sheetPr>
  <dimension ref="A1:AC70"/>
  <sheetViews>
    <sheetView zoomScale="50" zoomScaleNormal="50" zoomScaleSheetLayoutView="50" workbookViewId="0"/>
  </sheetViews>
  <sheetFormatPr defaultColWidth="11.453125" defaultRowHeight="23"/>
  <cols>
    <col min="1" max="1" width="15.7265625" style="52" customWidth="1"/>
    <col min="2" max="14" width="22.7265625" style="52" customWidth="1"/>
    <col min="15" max="15" width="24.7265625" style="52" customWidth="1"/>
    <col min="16" max="16" width="20.54296875" style="52" customWidth="1"/>
    <col min="17" max="18" width="18.81640625" style="52" customWidth="1"/>
    <col min="19" max="19" width="15.7265625" style="52" customWidth="1"/>
    <col min="20" max="20" width="19.453125" style="52" customWidth="1"/>
    <col min="21" max="22" width="23.54296875" style="52" bestFit="1" customWidth="1"/>
    <col min="23" max="23" width="31.26953125" style="52" bestFit="1" customWidth="1"/>
    <col min="24" max="24" width="11.81640625" style="52" bestFit="1" customWidth="1"/>
    <col min="25" max="25" width="15" style="52" bestFit="1" customWidth="1"/>
    <col min="26" max="26" width="23.26953125" style="52" bestFit="1" customWidth="1"/>
    <col min="27" max="16384" width="11.453125" style="52"/>
  </cols>
  <sheetData>
    <row r="1" spans="1:20" s="31" customFormat="1" ht="27" customHeight="1">
      <c r="A1" s="50" t="s">
        <v>36</v>
      </c>
      <c r="H1" s="50" t="s">
        <v>37</v>
      </c>
      <c r="O1" s="50" t="s">
        <v>38</v>
      </c>
    </row>
    <row r="2" spans="1:20" ht="27" customHeight="1">
      <c r="A2" s="51" t="s">
        <v>39</v>
      </c>
      <c r="H2" s="51" t="s">
        <v>39</v>
      </c>
      <c r="O2" s="51" t="s">
        <v>40</v>
      </c>
    </row>
    <row r="3" spans="1:20" s="53" customFormat="1" ht="27" customHeight="1">
      <c r="A3" s="30"/>
      <c r="B3" s="30" t="s">
        <v>41</v>
      </c>
      <c r="C3" s="30" t="s">
        <v>42</v>
      </c>
      <c r="D3" s="30" t="s">
        <v>43</v>
      </c>
      <c r="E3" s="30" t="s">
        <v>44</v>
      </c>
      <c r="F3" s="30" t="s">
        <v>45</v>
      </c>
      <c r="H3" s="30"/>
      <c r="I3" s="30" t="s">
        <v>41</v>
      </c>
      <c r="J3" s="30" t="s">
        <v>42</v>
      </c>
      <c r="K3" s="30" t="s">
        <v>43</v>
      </c>
      <c r="L3" s="30" t="s">
        <v>44</v>
      </c>
      <c r="M3" s="30" t="s">
        <v>45</v>
      </c>
      <c r="O3" s="30"/>
      <c r="P3" s="54" t="s">
        <v>46</v>
      </c>
      <c r="Q3" s="54" t="s">
        <v>47</v>
      </c>
      <c r="R3" s="54" t="s">
        <v>48</v>
      </c>
      <c r="S3" s="54" t="s">
        <v>49</v>
      </c>
      <c r="T3" s="54" t="s">
        <v>50</v>
      </c>
    </row>
    <row r="4" spans="1:20" s="31" customFormat="1" ht="27" customHeight="1">
      <c r="A4" s="55">
        <v>2013</v>
      </c>
      <c r="B4" s="56">
        <v>6792.8</v>
      </c>
      <c r="C4" s="56">
        <v>10265</v>
      </c>
      <c r="D4" s="56">
        <v>9315.6</v>
      </c>
      <c r="E4" s="56">
        <v>8624.4</v>
      </c>
      <c r="F4" s="56">
        <v>34997.9</v>
      </c>
      <c r="G4" s="57"/>
      <c r="H4" s="55">
        <v>2013</v>
      </c>
      <c r="I4" s="56">
        <v>649.73462279077899</v>
      </c>
      <c r="J4" s="56">
        <v>1084.1955635463542</v>
      </c>
      <c r="K4" s="56">
        <v>996.53460172359314</v>
      </c>
      <c r="L4" s="56">
        <v>806.79241257994317</v>
      </c>
      <c r="M4" s="56">
        <v>3537.2572006406699</v>
      </c>
      <c r="N4" s="58"/>
      <c r="O4" s="55">
        <v>2013</v>
      </c>
      <c r="P4" s="59">
        <v>1.65</v>
      </c>
      <c r="Q4" s="59">
        <v>2.75691</v>
      </c>
      <c r="R4" s="59">
        <v>2.5570656009938069</v>
      </c>
      <c r="S4" s="59">
        <v>2.1103474258982602</v>
      </c>
      <c r="T4" s="59">
        <v>9.0943230268920665</v>
      </c>
    </row>
    <row r="5" spans="1:20" s="31" customFormat="1" ht="27" customHeight="1">
      <c r="A5" s="55">
        <v>2014</v>
      </c>
      <c r="B5" s="56">
        <v>6948.5</v>
      </c>
      <c r="C5" s="56">
        <v>9246.2000000000007</v>
      </c>
      <c r="D5" s="56">
        <v>8723</v>
      </c>
      <c r="E5" s="56">
        <v>8042.8</v>
      </c>
      <c r="F5" s="56">
        <v>32960.6</v>
      </c>
      <c r="G5" s="57"/>
      <c r="H5" s="55">
        <v>2014</v>
      </c>
      <c r="I5" s="56">
        <v>681.1</v>
      </c>
      <c r="J5" s="56">
        <v>980.7</v>
      </c>
      <c r="K5" s="56">
        <v>850.7</v>
      </c>
      <c r="L5" s="56">
        <v>649.20000000000005</v>
      </c>
      <c r="M5" s="56">
        <v>3161.7000000000003</v>
      </c>
      <c r="N5" s="58"/>
      <c r="O5" s="55">
        <v>2014</v>
      </c>
      <c r="P5" s="59">
        <v>1.81</v>
      </c>
      <c r="Q5" s="59">
        <v>2.65</v>
      </c>
      <c r="R5" s="59">
        <v>2.33</v>
      </c>
      <c r="S5" s="59">
        <v>1.83</v>
      </c>
      <c r="T5" s="59">
        <v>8.6300000000000008</v>
      </c>
    </row>
    <row r="6" spans="1:20" s="31" customFormat="1" ht="27" customHeight="1">
      <c r="A6" s="55">
        <v>2015</v>
      </c>
      <c r="B6" s="56">
        <v>5605.1</v>
      </c>
      <c r="C6" s="56">
        <v>7398.5</v>
      </c>
      <c r="D6" s="56">
        <v>6839.5</v>
      </c>
      <c r="E6" s="56">
        <v>5932</v>
      </c>
      <c r="F6" s="56">
        <v>25775.199999999997</v>
      </c>
      <c r="G6" s="57"/>
      <c r="H6" s="55">
        <v>2015</v>
      </c>
      <c r="I6" s="56">
        <v>386.8</v>
      </c>
      <c r="J6" s="56">
        <v>690.5</v>
      </c>
      <c r="K6" s="56">
        <v>511.6</v>
      </c>
      <c r="L6" s="56">
        <v>351.2</v>
      </c>
      <c r="M6" s="56">
        <v>1940</v>
      </c>
      <c r="N6" s="58"/>
      <c r="O6" s="55">
        <v>2015</v>
      </c>
      <c r="P6" s="59">
        <v>1.1200000000000001</v>
      </c>
      <c r="Q6" s="59">
        <v>2.0299999999999998</v>
      </c>
      <c r="R6" s="59">
        <v>1.53</v>
      </c>
      <c r="S6" s="59">
        <v>1.08</v>
      </c>
      <c r="T6" s="59">
        <v>5.7700000000000005</v>
      </c>
    </row>
    <row r="7" spans="1:20" s="31" customFormat="1" ht="27" customHeight="1">
      <c r="A7" s="55">
        <v>2016</v>
      </c>
      <c r="B7" s="56">
        <v>4769.2</v>
      </c>
      <c r="C7" s="56">
        <v>7106.6</v>
      </c>
      <c r="D7" s="56">
        <v>5861.4</v>
      </c>
      <c r="E7" s="56">
        <v>5650.1</v>
      </c>
      <c r="F7" s="56">
        <v>23387.3</v>
      </c>
      <c r="G7" s="57"/>
      <c r="H7" s="55">
        <v>2016</v>
      </c>
      <c r="I7" s="56">
        <v>254.4</v>
      </c>
      <c r="J7" s="56">
        <v>495.4</v>
      </c>
      <c r="K7" s="56">
        <v>488.8</v>
      </c>
      <c r="L7" s="56">
        <v>285.3</v>
      </c>
      <c r="M7" s="56">
        <v>1523.9</v>
      </c>
      <c r="N7" s="58"/>
      <c r="O7" s="55">
        <v>2016</v>
      </c>
      <c r="P7" s="59">
        <v>0.8</v>
      </c>
      <c r="Q7" s="59">
        <v>1.56</v>
      </c>
      <c r="R7" s="59">
        <v>1.55</v>
      </c>
      <c r="S7" s="59">
        <v>0.9</v>
      </c>
      <c r="T7" s="59">
        <v>4.8099999999999996</v>
      </c>
    </row>
    <row r="8" spans="1:20" s="31" customFormat="1" ht="27" customHeight="1">
      <c r="A8" s="55">
        <v>2017</v>
      </c>
      <c r="B8" s="56">
        <v>4698</v>
      </c>
      <c r="C8" s="56">
        <v>7260</v>
      </c>
      <c r="D8" s="56">
        <v>6833</v>
      </c>
      <c r="E8" s="56">
        <v>7094</v>
      </c>
      <c r="F8" s="56">
        <v>25885</v>
      </c>
      <c r="G8" s="57"/>
      <c r="H8" s="55" t="s">
        <v>51</v>
      </c>
      <c r="I8" s="56">
        <v>199</v>
      </c>
      <c r="J8" s="56">
        <v>808</v>
      </c>
      <c r="K8" s="56">
        <v>642</v>
      </c>
      <c r="L8" s="56">
        <v>510</v>
      </c>
      <c r="M8" s="56">
        <v>2159</v>
      </c>
      <c r="N8" s="58"/>
      <c r="O8" s="55" t="s">
        <v>51</v>
      </c>
      <c r="P8" s="59">
        <v>0.62</v>
      </c>
      <c r="Q8" s="59">
        <v>2.5</v>
      </c>
      <c r="R8" s="59">
        <v>1.97</v>
      </c>
      <c r="S8" s="59">
        <v>1.57</v>
      </c>
      <c r="T8" s="59">
        <v>6.68</v>
      </c>
    </row>
    <row r="9" spans="1:20" s="31" customFormat="1" ht="27" customHeight="1">
      <c r="A9" s="55">
        <v>2018</v>
      </c>
      <c r="B9" s="56">
        <v>5974</v>
      </c>
      <c r="C9" s="56">
        <v>9747</v>
      </c>
      <c r="D9" s="56">
        <v>9287</v>
      </c>
      <c r="E9" s="56">
        <v>8343</v>
      </c>
      <c r="F9" s="56">
        <v>33351</v>
      </c>
      <c r="G9" s="57"/>
      <c r="H9" s="55">
        <v>2018</v>
      </c>
      <c r="I9" s="56">
        <v>-535</v>
      </c>
      <c r="J9" s="56">
        <v>1208</v>
      </c>
      <c r="K9" s="56">
        <v>910</v>
      </c>
      <c r="L9" s="56">
        <v>785</v>
      </c>
      <c r="M9" s="56">
        <v>2368</v>
      </c>
      <c r="N9" s="58"/>
      <c r="O9" s="55">
        <v>2018</v>
      </c>
      <c r="P9" s="59">
        <v>-1.66</v>
      </c>
      <c r="Q9" s="59">
        <v>3.67</v>
      </c>
      <c r="R9" s="59">
        <v>2.78</v>
      </c>
      <c r="S9" s="59">
        <v>2.42</v>
      </c>
      <c r="T9" s="59">
        <v>7.24</v>
      </c>
    </row>
    <row r="10" spans="1:20" s="31" customFormat="1" ht="27" customHeight="1">
      <c r="A10" s="55">
        <v>2019</v>
      </c>
      <c r="B10" s="56">
        <v>6941</v>
      </c>
      <c r="C10" s="56">
        <v>10273</v>
      </c>
      <c r="D10" s="56">
        <v>8969</v>
      </c>
      <c r="E10" s="56">
        <v>8703</v>
      </c>
      <c r="F10" s="56">
        <v>34886</v>
      </c>
      <c r="G10" s="57"/>
      <c r="H10" s="55">
        <v>2019</v>
      </c>
      <c r="I10" s="56">
        <v>498</v>
      </c>
      <c r="J10" s="56">
        <v>1135</v>
      </c>
      <c r="K10" s="56">
        <v>899</v>
      </c>
      <c r="L10" s="56">
        <v>721</v>
      </c>
      <c r="M10" s="56">
        <v>3253</v>
      </c>
      <c r="N10" s="58"/>
      <c r="O10" s="55">
        <v>2019</v>
      </c>
      <c r="P10" s="59">
        <v>1.54</v>
      </c>
      <c r="Q10" s="59">
        <v>3.52</v>
      </c>
      <c r="R10" s="59">
        <v>2.81</v>
      </c>
      <c r="S10" s="59">
        <v>2.27</v>
      </c>
      <c r="T10" s="59">
        <v>10.15</v>
      </c>
    </row>
    <row r="11" spans="1:20" s="31" customFormat="1" ht="27" customHeight="1">
      <c r="A11" s="55">
        <v>2020</v>
      </c>
      <c r="B11" s="56">
        <v>6530</v>
      </c>
      <c r="C11" s="56">
        <v>8224</v>
      </c>
      <c r="D11" s="56">
        <v>7859</v>
      </c>
      <c r="E11" s="56">
        <v>8659</v>
      </c>
      <c r="F11" s="56">
        <v>31272</v>
      </c>
      <c r="G11" s="57"/>
      <c r="H11" s="55">
        <v>2020</v>
      </c>
      <c r="I11" s="56">
        <v>517</v>
      </c>
      <c r="J11" s="56">
        <v>666</v>
      </c>
      <c r="K11" s="56">
        <v>811</v>
      </c>
      <c r="L11" s="56">
        <v>757</v>
      </c>
      <c r="M11" s="56">
        <v>2751</v>
      </c>
      <c r="N11" s="58"/>
      <c r="O11" s="55">
        <v>2020</v>
      </c>
      <c r="P11" s="59">
        <v>1.63</v>
      </c>
      <c r="Q11" s="59">
        <v>2.11</v>
      </c>
      <c r="R11" s="59">
        <v>2.57</v>
      </c>
      <c r="S11" s="59">
        <v>2.39</v>
      </c>
      <c r="T11" s="59">
        <v>8.69</v>
      </c>
    </row>
    <row r="12" spans="1:20" s="31" customFormat="1" ht="27" customHeight="1">
      <c r="A12" s="55">
        <v>2021</v>
      </c>
      <c r="B12" s="56">
        <v>8050.5</v>
      </c>
      <c r="C12" s="56">
        <v>10998.1</v>
      </c>
      <c r="D12" s="56">
        <v>10412.9</v>
      </c>
      <c r="E12" s="56">
        <v>10275.799999999999</v>
      </c>
      <c r="F12" s="56">
        <v>39737.300000000003</v>
      </c>
      <c r="G12" s="57"/>
      <c r="H12" s="55">
        <v>2021</v>
      </c>
      <c r="I12" s="56">
        <v>1223.7</v>
      </c>
      <c r="J12" s="56">
        <v>1789.7</v>
      </c>
      <c r="K12" s="56">
        <v>1666.8</v>
      </c>
      <c r="L12" s="56">
        <v>1282.9000000000001</v>
      </c>
      <c r="M12" s="56">
        <v>5963.1</v>
      </c>
      <c r="N12" s="58"/>
      <c r="O12" s="55">
        <v>2021</v>
      </c>
      <c r="P12" s="59">
        <v>3.87</v>
      </c>
      <c r="Q12" s="59">
        <v>5.68</v>
      </c>
      <c r="R12" s="59">
        <v>5.32</v>
      </c>
      <c r="S12" s="59">
        <v>4.12</v>
      </c>
      <c r="T12" s="59">
        <v>18.990000000000002</v>
      </c>
    </row>
    <row r="13" spans="1:20" s="31" customFormat="1" ht="27" customHeight="1">
      <c r="A13" s="55">
        <v>2022</v>
      </c>
      <c r="B13" s="56">
        <v>8531.4</v>
      </c>
      <c r="C13" s="56">
        <v>12033.8</v>
      </c>
      <c r="D13" s="56">
        <v>13000</v>
      </c>
      <c r="E13" s="56">
        <v>14351.4</v>
      </c>
      <c r="F13" s="56">
        <f>SUM(B13:E13)</f>
        <v>47916.6</v>
      </c>
      <c r="G13" s="57"/>
      <c r="H13" s="55">
        <v>2022</v>
      </c>
      <c r="I13" s="56">
        <v>903.3</v>
      </c>
      <c r="J13" s="56">
        <v>2097.6999999999998</v>
      </c>
      <c r="K13" s="56">
        <v>1884.2</v>
      </c>
      <c r="L13" s="56">
        <v>2245.9</v>
      </c>
      <c r="M13" s="56">
        <f>SUM(I13:L13)</f>
        <v>7131.1</v>
      </c>
      <c r="N13" s="58"/>
      <c r="O13" s="55">
        <v>2022</v>
      </c>
      <c r="P13" s="59">
        <v>2.92</v>
      </c>
      <c r="Q13" s="59">
        <v>6.81</v>
      </c>
      <c r="R13" s="59">
        <v>6.16</v>
      </c>
      <c r="S13" s="59">
        <v>7.44</v>
      </c>
      <c r="T13" s="59">
        <v>23.28</v>
      </c>
    </row>
    <row r="14" spans="1:20" s="31" customFormat="1" ht="27" customHeight="1">
      <c r="A14" s="55">
        <v>2023</v>
      </c>
      <c r="B14" s="56">
        <v>11402</v>
      </c>
      <c r="C14" s="56">
        <v>16079</v>
      </c>
      <c r="D14" s="56">
        <v>14284</v>
      </c>
      <c r="E14" s="56">
        <v>13801</v>
      </c>
      <c r="F14" s="56">
        <v>55565</v>
      </c>
      <c r="G14" s="57"/>
      <c r="H14" s="55">
        <v>2023</v>
      </c>
      <c r="I14" s="56">
        <v>1959</v>
      </c>
      <c r="J14" s="56">
        <v>2860</v>
      </c>
      <c r="K14" s="56">
        <v>2978</v>
      </c>
      <c r="L14" s="56">
        <v>2369</v>
      </c>
      <c r="M14" s="56">
        <v>10166</v>
      </c>
      <c r="N14" s="58"/>
      <c r="O14" s="55">
        <v>2023</v>
      </c>
      <c r="P14" s="59">
        <v>6.55</v>
      </c>
      <c r="Q14" s="59">
        <v>9.65</v>
      </c>
      <c r="R14" s="59">
        <v>10.199999999999999</v>
      </c>
      <c r="S14" s="59">
        <v>8.26</v>
      </c>
      <c r="T14" s="59">
        <v>34.630000000000003</v>
      </c>
    </row>
    <row r="15" spans="1:20" s="31" customFormat="1" ht="27" customHeight="1">
      <c r="A15" s="55">
        <v>2024</v>
      </c>
      <c r="B15" s="56">
        <v>10486</v>
      </c>
      <c r="C15" s="56">
        <v>13610</v>
      </c>
      <c r="D15" s="56">
        <v>11387</v>
      </c>
      <c r="E15" s="56">
        <v>9275</v>
      </c>
      <c r="F15" s="56">
        <v>44759</v>
      </c>
      <c r="G15" s="57"/>
      <c r="H15" s="55">
        <v>2024</v>
      </c>
      <c r="I15" s="56">
        <v>1751</v>
      </c>
      <c r="J15" s="56">
        <v>2370</v>
      </c>
      <c r="K15" s="56">
        <v>1734</v>
      </c>
      <c r="L15" s="56">
        <v>1245</v>
      </c>
      <c r="M15" s="56">
        <f>SUM(I15:L15)</f>
        <v>7100</v>
      </c>
      <c r="N15" s="58"/>
      <c r="O15" s="55">
        <v>2024</v>
      </c>
      <c r="P15" s="59">
        <v>6.23</v>
      </c>
      <c r="Q15" s="59">
        <v>8.5299999999999994</v>
      </c>
      <c r="R15" s="59">
        <v>6.29</v>
      </c>
      <c r="S15" s="59">
        <v>4.55</v>
      </c>
      <c r="T15" s="59">
        <v>25.62</v>
      </c>
    </row>
    <row r="16" spans="1:20" s="31" customFormat="1" ht="27" customHeight="1">
      <c r="A16" s="60">
        <v>2025</v>
      </c>
      <c r="B16" s="61">
        <v>6809</v>
      </c>
      <c r="C16" s="61">
        <v>11171</v>
      </c>
      <c r="D16" s="61">
        <v>10357</v>
      </c>
      <c r="E16" s="61">
        <v>10579</v>
      </c>
      <c r="F16" s="61">
        <v>38917</v>
      </c>
      <c r="G16" s="57"/>
      <c r="H16" s="60">
        <v>2025</v>
      </c>
      <c r="I16" s="61">
        <v>869</v>
      </c>
      <c r="J16" s="61">
        <v>1804</v>
      </c>
      <c r="K16" s="61">
        <v>1289</v>
      </c>
      <c r="L16" s="61">
        <v>1065</v>
      </c>
      <c r="M16" s="61">
        <v>5027</v>
      </c>
      <c r="N16" s="58"/>
      <c r="O16" s="60">
        <v>2025</v>
      </c>
      <c r="P16" s="132">
        <v>3.19</v>
      </c>
      <c r="Q16" s="132">
        <v>6.64</v>
      </c>
      <c r="R16" s="132">
        <v>4.75</v>
      </c>
      <c r="S16" s="132">
        <v>3.93</v>
      </c>
      <c r="T16" s="132">
        <v>18.5</v>
      </c>
    </row>
    <row r="17" spans="1:29" s="31" customFormat="1" ht="27" customHeight="1"/>
    <row r="18" spans="1:29" s="63" customFormat="1" ht="27" customHeight="1">
      <c r="A18" s="48" t="s">
        <v>52</v>
      </c>
      <c r="B18" s="62"/>
    </row>
    <row r="19" spans="1:29" s="63" customFormat="1" ht="27" customHeight="1">
      <c r="A19" s="48" t="s">
        <v>53</v>
      </c>
      <c r="B19" s="62"/>
    </row>
    <row r="20" spans="1:29" s="31" customFormat="1" ht="27" customHeight="1">
      <c r="A20" s="64"/>
    </row>
    <row r="21" spans="1:29" s="31" customFormat="1" ht="27" customHeight="1">
      <c r="A21" s="64"/>
    </row>
    <row r="22" spans="1:29" s="31" customFormat="1" ht="27" customHeight="1">
      <c r="A22" s="50" t="s">
        <v>54</v>
      </c>
    </row>
    <row r="23" spans="1:29" s="31" customFormat="1" ht="52.5" customHeight="1">
      <c r="A23" s="65"/>
      <c r="B23" s="28"/>
      <c r="C23" s="28"/>
      <c r="D23" s="28"/>
      <c r="E23" s="66" t="s">
        <v>55</v>
      </c>
      <c r="F23" s="67"/>
      <c r="G23" s="67"/>
      <c r="H23" s="67"/>
      <c r="I23" s="67"/>
      <c r="J23" s="67"/>
      <c r="K23" s="68"/>
      <c r="L23" s="66" t="s">
        <v>56</v>
      </c>
      <c r="M23" s="66"/>
      <c r="N23" s="66"/>
      <c r="O23" s="66"/>
      <c r="P23" s="66"/>
      <c r="Q23" s="66"/>
      <c r="R23" s="66"/>
    </row>
    <row r="24" spans="1:29" s="31" customFormat="1" ht="27" customHeight="1">
      <c r="A24" s="29"/>
      <c r="B24" s="29"/>
      <c r="C24" s="29"/>
      <c r="D24" s="29"/>
      <c r="E24" s="69">
        <v>2013</v>
      </c>
      <c r="F24" s="69">
        <v>2014</v>
      </c>
      <c r="G24" s="69">
        <v>2015</v>
      </c>
      <c r="H24" s="69">
        <v>2016</v>
      </c>
      <c r="I24" s="69">
        <v>2017</v>
      </c>
      <c r="J24" s="69">
        <v>2018</v>
      </c>
      <c r="K24" s="68"/>
      <c r="L24" s="69">
        <v>2019</v>
      </c>
      <c r="M24" s="69">
        <v>2020</v>
      </c>
      <c r="N24" s="69">
        <v>2021</v>
      </c>
      <c r="O24" s="69">
        <v>2022</v>
      </c>
      <c r="P24" s="69">
        <v>2023</v>
      </c>
      <c r="Q24" s="69">
        <v>2024</v>
      </c>
      <c r="R24" s="69">
        <v>2025</v>
      </c>
    </row>
    <row r="25" spans="1:29" s="31" customFormat="1" ht="27" customHeight="1">
      <c r="A25" s="31" t="s">
        <v>57</v>
      </c>
      <c r="E25" s="44">
        <v>19077</v>
      </c>
      <c r="F25" s="44">
        <v>17537</v>
      </c>
      <c r="G25" s="44">
        <v>14559</v>
      </c>
      <c r="H25" s="44">
        <v>12638</v>
      </c>
      <c r="I25" s="44">
        <v>13042</v>
      </c>
      <c r="J25" s="44">
        <v>16603</v>
      </c>
      <c r="K25" s="68"/>
      <c r="L25" s="44">
        <v>18444</v>
      </c>
      <c r="M25" s="44">
        <f>6889+5059+4548</f>
        <v>16496</v>
      </c>
      <c r="N25" s="44">
        <f>8223+6505+5697</f>
        <v>20425</v>
      </c>
      <c r="O25" s="44">
        <f>10975+7741+7103</f>
        <v>25819</v>
      </c>
      <c r="P25" s="44">
        <f>34105-3283</f>
        <v>30822</v>
      </c>
      <c r="Q25" s="44">
        <f>30242-4166</f>
        <v>26076</v>
      </c>
      <c r="R25" s="44">
        <f>23974-4450</f>
        <v>19524</v>
      </c>
      <c r="U25" s="125"/>
      <c r="V25" s="125"/>
      <c r="W25" s="125"/>
      <c r="X25" s="125"/>
      <c r="Y25" s="140"/>
      <c r="AA25" s="88"/>
      <c r="AB25" s="140"/>
    </row>
    <row r="26" spans="1:29" s="31" customFormat="1" ht="27" customHeight="1">
      <c r="A26" s="31" t="s">
        <v>58</v>
      </c>
      <c r="E26" s="70">
        <v>2744</v>
      </c>
      <c r="F26" s="70">
        <v>2634</v>
      </c>
      <c r="G26" s="70">
        <v>1939</v>
      </c>
      <c r="H26" s="70">
        <v>1738</v>
      </c>
      <c r="I26" s="70">
        <v>1989</v>
      </c>
      <c r="J26" s="70">
        <v>2244</v>
      </c>
      <c r="K26" s="68"/>
      <c r="L26" s="70">
        <v>2203</v>
      </c>
      <c r="M26" s="70">
        <f>640+350+802</f>
        <v>1792</v>
      </c>
      <c r="N26" s="70">
        <f>853+498+1047</f>
        <v>2398</v>
      </c>
      <c r="O26" s="70">
        <f>1387+676+1238</f>
        <v>3301</v>
      </c>
      <c r="P26" s="70">
        <f>4287-641</f>
        <v>3646</v>
      </c>
      <c r="Q26" s="70">
        <f>3900-717</f>
        <v>3183</v>
      </c>
      <c r="R26" s="70">
        <f>3735-761</f>
        <v>2974</v>
      </c>
      <c r="U26" s="125"/>
      <c r="V26" s="125"/>
      <c r="W26" s="125"/>
      <c r="X26" s="125"/>
      <c r="Y26" s="140"/>
      <c r="AA26" s="88"/>
      <c r="AB26" s="140"/>
    </row>
    <row r="27" spans="1:29" s="31" customFormat="1" ht="27" customHeight="1">
      <c r="A27" s="31" t="s">
        <v>59</v>
      </c>
      <c r="E27" s="70">
        <v>4350</v>
      </c>
      <c r="F27" s="70">
        <v>4434</v>
      </c>
      <c r="G27" s="70">
        <v>3329</v>
      </c>
      <c r="H27" s="70">
        <v>3220</v>
      </c>
      <c r="I27" s="70">
        <v>3330</v>
      </c>
      <c r="J27" s="70">
        <v>5110</v>
      </c>
      <c r="K27" s="68"/>
      <c r="L27" s="70">
        <v>5452</v>
      </c>
      <c r="M27" s="70">
        <f>1827+1937+1479</f>
        <v>5243</v>
      </c>
      <c r="N27" s="70">
        <f>2086+2433+1807</f>
        <v>6326</v>
      </c>
      <c r="O27" s="70">
        <f>2188+2478+1576</f>
        <v>6242</v>
      </c>
      <c r="P27" s="70">
        <f>7321-132</f>
        <v>7189</v>
      </c>
      <c r="Q27" s="70">
        <f>6189-189</f>
        <v>6000</v>
      </c>
      <c r="R27" s="70">
        <f>6550-185</f>
        <v>6365</v>
      </c>
      <c r="U27" s="125"/>
      <c r="V27" s="125"/>
      <c r="W27" s="125"/>
      <c r="X27" s="125"/>
      <c r="Y27" s="141"/>
      <c r="AA27" s="88"/>
      <c r="AB27" s="141"/>
      <c r="AC27" s="142"/>
    </row>
    <row r="28" spans="1:29" s="31" customFormat="1" ht="27" customHeight="1">
      <c r="A28" s="31" t="s">
        <v>60</v>
      </c>
      <c r="E28" s="70">
        <v>1617</v>
      </c>
      <c r="F28" s="70">
        <v>1444</v>
      </c>
      <c r="G28" s="70">
        <v>1024</v>
      </c>
      <c r="H28" s="70">
        <v>1199</v>
      </c>
      <c r="I28" s="70">
        <v>1729</v>
      </c>
      <c r="J28" s="70">
        <v>2219</v>
      </c>
      <c r="K28" s="68"/>
      <c r="L28" s="70">
        <v>2172</v>
      </c>
      <c r="M28" s="70">
        <f>898+493+646</f>
        <v>2037</v>
      </c>
      <c r="N28" s="70">
        <f>1322+475+828</f>
        <v>2625</v>
      </c>
      <c r="O28" s="70">
        <f>1207+488+545</f>
        <v>2240</v>
      </c>
      <c r="P28" s="70">
        <f>2137-36</f>
        <v>2101</v>
      </c>
      <c r="Q28" s="70">
        <f>1488-36</f>
        <v>1452</v>
      </c>
      <c r="R28" s="70">
        <f>1575-11</f>
        <v>1564</v>
      </c>
      <c r="U28" s="125"/>
      <c r="V28" s="125"/>
      <c r="W28" s="125"/>
      <c r="X28" s="125"/>
      <c r="Z28" s="125"/>
      <c r="AA28" s="125"/>
    </row>
    <row r="29" spans="1:29" s="31" customFormat="1" ht="27" customHeight="1">
      <c r="A29" s="31" t="s">
        <v>61</v>
      </c>
      <c r="E29" s="70">
        <v>4287</v>
      </c>
      <c r="F29" s="70">
        <v>4073</v>
      </c>
      <c r="G29" s="70">
        <v>2375</v>
      </c>
      <c r="H29" s="70">
        <v>2422</v>
      </c>
      <c r="I29" s="70">
        <v>3206</v>
      </c>
      <c r="J29" s="70">
        <v>3370</v>
      </c>
      <c r="K29" s="68"/>
      <c r="L29" s="70">
        <v>3613</v>
      </c>
      <c r="M29" s="70">
        <f>1902+334+553</f>
        <v>2789</v>
      </c>
      <c r="N29" s="70">
        <f>2916+456+903</f>
        <v>4275</v>
      </c>
      <c r="O29" s="70">
        <f>4991+578+1467</f>
        <v>7036</v>
      </c>
      <c r="P29" s="70">
        <f>8197-453</f>
        <v>7744</v>
      </c>
      <c r="Q29" s="70">
        <f>5538-453</f>
        <v>5085</v>
      </c>
      <c r="R29" s="70">
        <f>5607-197</f>
        <v>5410</v>
      </c>
    </row>
    <row r="30" spans="1:29" s="31" customFormat="1" ht="27" customHeight="1">
      <c r="A30" s="31" t="s">
        <v>62</v>
      </c>
      <c r="E30" s="70"/>
      <c r="F30" s="70"/>
      <c r="G30" s="70"/>
      <c r="H30" s="70"/>
      <c r="I30" s="70"/>
      <c r="J30" s="70"/>
      <c r="K30" s="68"/>
      <c r="L30" s="70"/>
      <c r="M30" s="70"/>
      <c r="N30" s="70"/>
      <c r="O30" s="70"/>
      <c r="P30" s="70"/>
      <c r="Q30" s="70"/>
      <c r="R30" s="70"/>
    </row>
    <row r="31" spans="1:29" s="31" customFormat="1" ht="27" customHeight="1">
      <c r="A31" s="29" t="s">
        <v>63</v>
      </c>
      <c r="B31" s="29"/>
      <c r="C31" s="29"/>
      <c r="D31" s="29"/>
      <c r="E31" s="71">
        <v>2923</v>
      </c>
      <c r="F31" s="71">
        <v>2839</v>
      </c>
      <c r="G31" s="71">
        <v>2549</v>
      </c>
      <c r="H31" s="71">
        <v>2170</v>
      </c>
      <c r="I31" s="71">
        <v>2589</v>
      </c>
      <c r="J31" s="71">
        <v>3805</v>
      </c>
      <c r="K31" s="68"/>
      <c r="L31" s="71">
        <v>3753</v>
      </c>
      <c r="M31" s="71">
        <f>1119+1322+1153</f>
        <v>3594</v>
      </c>
      <c r="N31" s="71">
        <f>1417+1679+1331</f>
        <v>4427</v>
      </c>
      <c r="O31" s="71">
        <f>1570+1608+1136</f>
        <v>4314</v>
      </c>
      <c r="P31" s="71">
        <f>5204-176</f>
        <v>5028</v>
      </c>
      <c r="Q31" s="71">
        <f>4359-221</f>
        <v>4138</v>
      </c>
      <c r="R31" s="71">
        <f>4243-217</f>
        <v>4026</v>
      </c>
    </row>
    <row r="32" spans="1:29" s="31" customFormat="1" ht="27" customHeight="1">
      <c r="A32" s="29" t="s">
        <v>4</v>
      </c>
      <c r="B32" s="29"/>
      <c r="C32" s="29"/>
      <c r="D32" s="29"/>
      <c r="E32" s="72">
        <v>34998</v>
      </c>
      <c r="F32" s="72">
        <v>32961</v>
      </c>
      <c r="G32" s="72">
        <v>25775</v>
      </c>
      <c r="H32" s="72">
        <v>23387</v>
      </c>
      <c r="I32" s="72">
        <v>25885</v>
      </c>
      <c r="J32" s="72">
        <v>33351</v>
      </c>
      <c r="K32" s="68"/>
      <c r="L32" s="72">
        <v>35637</v>
      </c>
      <c r="M32" s="72">
        <f t="shared" ref="M32:R32" si="0">SUM(M25:M31)</f>
        <v>31951</v>
      </c>
      <c r="N32" s="72">
        <f t="shared" si="0"/>
        <v>40476</v>
      </c>
      <c r="O32" s="72">
        <f t="shared" si="0"/>
        <v>48952</v>
      </c>
      <c r="P32" s="72">
        <f t="shared" si="0"/>
        <v>56530</v>
      </c>
      <c r="Q32" s="72">
        <f t="shared" si="0"/>
        <v>45934</v>
      </c>
      <c r="R32" s="72">
        <f t="shared" si="0"/>
        <v>39863</v>
      </c>
      <c r="V32" s="140"/>
    </row>
    <row r="33" spans="1:24" s="31" customFormat="1" ht="27" customHeight="1">
      <c r="E33" s="44"/>
      <c r="F33" s="44"/>
      <c r="G33" s="44"/>
      <c r="H33" s="44"/>
      <c r="I33" s="44"/>
      <c r="J33" s="44"/>
      <c r="L33" s="125"/>
      <c r="M33" s="125"/>
      <c r="N33" s="125"/>
      <c r="O33" s="125"/>
      <c r="P33" s="125"/>
    </row>
    <row r="34" spans="1:24" s="31" customFormat="1" ht="27" customHeight="1">
      <c r="A34" s="48" t="s">
        <v>185</v>
      </c>
      <c r="L34" s="73"/>
      <c r="M34" s="44"/>
      <c r="P34" s="44"/>
      <c r="V34" s="140"/>
      <c r="X34" s="140"/>
    </row>
    <row r="35" spans="1:24"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T35" s="31"/>
      <c r="V35" s="140"/>
      <c r="X35" s="140"/>
    </row>
    <row r="36" spans="1:24">
      <c r="T36" s="31"/>
    </row>
    <row r="37" spans="1:24">
      <c r="D37" s="31"/>
      <c r="E37" s="144"/>
      <c r="F37" s="144"/>
      <c r="G37" s="144"/>
      <c r="H37" s="144"/>
      <c r="I37" s="144"/>
      <c r="J37" s="144"/>
      <c r="L37" s="144"/>
      <c r="M37" s="144"/>
      <c r="N37" s="144"/>
      <c r="O37" s="144"/>
      <c r="P37" s="144"/>
      <c r="Q37" s="144"/>
      <c r="R37" s="144"/>
      <c r="T37" s="31"/>
    </row>
    <row r="38" spans="1:24">
      <c r="D38" s="31"/>
      <c r="E38" s="144"/>
      <c r="F38" s="144"/>
      <c r="G38" s="144"/>
      <c r="H38" s="144"/>
      <c r="I38" s="144"/>
      <c r="J38" s="144"/>
      <c r="L38" s="144"/>
      <c r="M38" s="144"/>
      <c r="N38" s="144"/>
      <c r="O38" s="144"/>
      <c r="P38" s="144"/>
      <c r="Q38" s="144"/>
      <c r="R38" s="144"/>
    </row>
    <row r="39" spans="1:24">
      <c r="D39" s="31"/>
      <c r="E39" s="144"/>
      <c r="F39" s="144"/>
      <c r="G39" s="144"/>
      <c r="H39" s="144"/>
      <c r="I39" s="144"/>
      <c r="J39" s="144"/>
      <c r="L39" s="144"/>
      <c r="M39" s="144"/>
      <c r="N39" s="144"/>
      <c r="O39" s="144"/>
      <c r="P39" s="144"/>
      <c r="Q39" s="144"/>
      <c r="R39" s="144"/>
    </row>
    <row r="40" spans="1:24">
      <c r="D40" s="31"/>
      <c r="E40" s="144"/>
      <c r="F40" s="144"/>
      <c r="G40" s="144"/>
      <c r="H40" s="144"/>
      <c r="I40" s="144"/>
      <c r="J40" s="144"/>
      <c r="L40" s="144"/>
      <c r="M40" s="144"/>
      <c r="N40" s="144"/>
      <c r="O40" s="144"/>
      <c r="P40" s="144"/>
      <c r="Q40" s="144"/>
      <c r="R40" s="144"/>
    </row>
    <row r="41" spans="1:24">
      <c r="D41" s="31"/>
      <c r="E41" s="144"/>
      <c r="F41" s="144"/>
      <c r="G41" s="144"/>
      <c r="H41" s="144"/>
      <c r="I41" s="144"/>
      <c r="J41" s="144"/>
      <c r="L41" s="144"/>
      <c r="M41" s="144"/>
      <c r="N41" s="144"/>
      <c r="O41" s="144"/>
      <c r="P41" s="144"/>
      <c r="Q41" s="144"/>
      <c r="R41" s="144"/>
    </row>
    <row r="42" spans="1:24">
      <c r="D42" s="31"/>
      <c r="E42" s="144"/>
      <c r="F42" s="144"/>
      <c r="G42" s="144"/>
      <c r="H42" s="144"/>
      <c r="I42" s="144"/>
      <c r="J42" s="144"/>
      <c r="L42" s="144"/>
      <c r="M42" s="144"/>
      <c r="N42" s="144"/>
      <c r="O42" s="144"/>
      <c r="P42" s="144"/>
      <c r="Q42" s="144"/>
      <c r="R42" s="144"/>
    </row>
    <row r="43" spans="1:24">
      <c r="D43" s="31"/>
      <c r="E43" s="144"/>
      <c r="F43" s="144"/>
      <c r="G43" s="144"/>
      <c r="H43" s="144"/>
      <c r="I43" s="144"/>
      <c r="J43" s="144"/>
      <c r="L43" s="144"/>
      <c r="M43" s="144"/>
      <c r="N43" s="144"/>
      <c r="O43" s="144"/>
      <c r="P43" s="144"/>
      <c r="Q43" s="144"/>
      <c r="R43" s="144"/>
    </row>
    <row r="44" spans="1:24">
      <c r="D44" s="31"/>
    </row>
    <row r="45" spans="1:24">
      <c r="D45" s="31"/>
    </row>
    <row r="46" spans="1:24" ht="25.15" customHeight="1">
      <c r="E46" s="145"/>
      <c r="F46" s="145"/>
      <c r="G46" s="145"/>
      <c r="H46" s="145"/>
      <c r="I46" s="145"/>
      <c r="J46" s="145"/>
      <c r="L46" s="145"/>
      <c r="M46" s="145"/>
      <c r="N46" s="145"/>
      <c r="O46" s="145"/>
      <c r="P46" s="145"/>
      <c r="Q46" s="145"/>
      <c r="R46" s="145"/>
    </row>
    <row r="47" spans="1:24" ht="23.15" customHeight="1">
      <c r="E47" s="145"/>
      <c r="F47" s="145"/>
      <c r="G47" s="145"/>
      <c r="H47" s="145"/>
      <c r="I47" s="145"/>
      <c r="J47" s="145"/>
      <c r="L47" s="145"/>
      <c r="M47" s="145"/>
      <c r="N47" s="145"/>
      <c r="O47" s="145"/>
      <c r="P47" s="145"/>
      <c r="Q47" s="145"/>
      <c r="R47" s="145"/>
    </row>
    <row r="48" spans="1:24" ht="23.15" customHeight="1">
      <c r="E48" s="145"/>
      <c r="F48" s="145"/>
      <c r="G48" s="145"/>
      <c r="H48" s="145"/>
      <c r="I48" s="145"/>
      <c r="J48" s="145"/>
      <c r="L48" s="145"/>
      <c r="M48" s="145"/>
      <c r="N48" s="145"/>
      <c r="O48" s="145"/>
      <c r="P48" s="145"/>
      <c r="Q48" s="145"/>
      <c r="R48" s="145"/>
    </row>
    <row r="49" spans="5:18" ht="23.15" customHeight="1">
      <c r="E49" s="145"/>
      <c r="F49" s="145"/>
      <c r="G49" s="145"/>
      <c r="H49" s="145"/>
      <c r="I49" s="145"/>
      <c r="J49" s="145"/>
      <c r="L49" s="145"/>
      <c r="M49" s="145"/>
      <c r="N49" s="145"/>
      <c r="O49" s="145"/>
      <c r="P49" s="145"/>
      <c r="Q49" s="145"/>
      <c r="R49" s="145"/>
    </row>
    <row r="50" spans="5:18" ht="23.15" customHeight="1"/>
    <row r="51" spans="5:18" ht="23.15" customHeight="1"/>
    <row r="52" spans="5:18" ht="23.15" customHeight="1"/>
    <row r="53" spans="5:18" ht="23.15" customHeight="1"/>
    <row r="70" ht="14.15" customHeight="1"/>
  </sheetData>
  <pageMargins left="0.5" right="0.5" top="0.5" bottom="0.5" header="0.5" footer="0.25"/>
  <pageSetup scale="29" firstPageNumber="4" orientation="landscape" r:id="rId1"/>
  <headerFooter alignWithMargins="0">
    <oddFooter>&amp;R&amp;"Calibri"&amp;11&amp;K000000&amp;"Calibri"&amp;11&amp;K000000&amp;"Calibri"&amp;11&amp;K000000&amp;12Quarterly Sales and Sales by Major Markets-3_x000D_&amp;1#&amp;"Calibri"&amp;10&amp;KFF0000Company Use</oddFooter>
  </headerFooter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1CCE2-C8DF-4663-9F14-14910D0CC9F1}">
  <sheetPr>
    <tabColor theme="9" tint="0.79998168889431442"/>
  </sheetPr>
  <dimension ref="A1:R36"/>
  <sheetViews>
    <sheetView view="pageBreakPreview" zoomScale="60" zoomScaleNormal="50" workbookViewId="0"/>
  </sheetViews>
  <sheetFormatPr defaultColWidth="11.453125" defaultRowHeight="23"/>
  <cols>
    <col min="1" max="3" width="6" style="52" customWidth="1"/>
    <col min="4" max="4" width="35.7265625" style="52" customWidth="1"/>
    <col min="5" max="5" width="43.453125" style="52" customWidth="1"/>
    <col min="6" max="15" width="22.7265625" style="52" customWidth="1"/>
    <col min="16" max="16" width="21.7265625" style="52" customWidth="1"/>
    <col min="17" max="18" width="21.453125" style="52" customWidth="1"/>
    <col min="19" max="16384" width="11.453125" style="52"/>
  </cols>
  <sheetData>
    <row r="1" spans="1:5" ht="32.25" customHeight="1">
      <c r="A1" s="74" t="s">
        <v>64</v>
      </c>
      <c r="B1" s="31"/>
      <c r="C1" s="31"/>
      <c r="D1" s="31"/>
      <c r="E1" s="31"/>
    </row>
    <row r="2" spans="1:5" ht="27" customHeight="1">
      <c r="A2" s="75" t="s">
        <v>39</v>
      </c>
      <c r="B2" s="29"/>
      <c r="C2" s="29"/>
      <c r="D2" s="29"/>
      <c r="E2" s="31"/>
    </row>
    <row r="3" spans="1:5" ht="27" customHeight="1">
      <c r="A3" s="155">
        <v>2013</v>
      </c>
      <c r="B3" s="155"/>
      <c r="C3" s="55"/>
      <c r="D3" s="76">
        <v>9324</v>
      </c>
      <c r="E3" s="76"/>
    </row>
    <row r="4" spans="1:5" ht="27" customHeight="1">
      <c r="A4" s="153">
        <v>2014</v>
      </c>
      <c r="B4" s="153"/>
      <c r="C4" s="55"/>
      <c r="D4" s="76">
        <v>9005</v>
      </c>
      <c r="E4" s="76"/>
    </row>
    <row r="5" spans="1:5" ht="27" customHeight="1">
      <c r="A5" s="153">
        <v>2015</v>
      </c>
      <c r="B5" s="153"/>
      <c r="C5" s="55"/>
      <c r="D5" s="76">
        <v>7052</v>
      </c>
      <c r="E5" s="76"/>
    </row>
    <row r="6" spans="1:5" ht="27" customHeight="1">
      <c r="A6" s="153">
        <v>2016</v>
      </c>
      <c r="B6" s="153"/>
      <c r="C6" s="55"/>
      <c r="D6" s="76">
        <v>6134</v>
      </c>
      <c r="E6" s="76"/>
    </row>
    <row r="7" spans="1:5" ht="27" customHeight="1">
      <c r="A7" s="153">
        <v>2017</v>
      </c>
      <c r="B7" s="153"/>
      <c r="C7" s="55"/>
      <c r="D7" s="76">
        <v>7390</v>
      </c>
      <c r="E7" s="76"/>
    </row>
    <row r="8" spans="1:5" ht="27" customHeight="1">
      <c r="A8" s="153">
        <v>2018</v>
      </c>
      <c r="B8" s="153"/>
      <c r="C8" s="55"/>
      <c r="D8" s="76">
        <v>8715</v>
      </c>
      <c r="E8" s="76"/>
    </row>
    <row r="9" spans="1:5" ht="27" customHeight="1">
      <c r="A9" s="153">
        <v>2019</v>
      </c>
      <c r="B9" s="153"/>
      <c r="C9" s="55"/>
      <c r="D9" s="76">
        <v>7714</v>
      </c>
      <c r="E9" s="76"/>
    </row>
    <row r="10" spans="1:5" ht="27" customHeight="1">
      <c r="A10" s="153">
        <v>2020</v>
      </c>
      <c r="B10" s="153"/>
      <c r="C10" s="55"/>
      <c r="D10" s="76">
        <v>6263</v>
      </c>
      <c r="E10" s="76"/>
    </row>
    <row r="11" spans="1:5" ht="27" customHeight="1">
      <c r="A11" s="153">
        <v>2021</v>
      </c>
      <c r="B11" s="153"/>
      <c r="C11" s="55"/>
      <c r="D11" s="76">
        <v>8357</v>
      </c>
      <c r="E11" s="76"/>
    </row>
    <row r="12" spans="1:5" ht="27" customHeight="1">
      <c r="A12" s="153">
        <v>2022</v>
      </c>
      <c r="B12" s="153"/>
      <c r="C12" s="55"/>
      <c r="D12" s="76">
        <v>8513</v>
      </c>
      <c r="E12" s="76"/>
    </row>
    <row r="13" spans="1:5" ht="27" customHeight="1">
      <c r="A13" s="153">
        <v>2023</v>
      </c>
      <c r="B13" s="153"/>
      <c r="C13" s="55"/>
      <c r="D13" s="76">
        <v>8768.9801158699993</v>
      </c>
      <c r="E13" s="76"/>
    </row>
    <row r="14" spans="1:5" ht="27" customHeight="1">
      <c r="A14" s="153">
        <v>2024</v>
      </c>
      <c r="B14" s="153"/>
      <c r="C14" s="55"/>
      <c r="D14" s="76">
        <v>6867.9243498299993</v>
      </c>
      <c r="E14" s="76"/>
    </row>
    <row r="15" spans="1:5" ht="27" customHeight="1">
      <c r="A15" s="154">
        <v>2025</v>
      </c>
      <c r="B15" s="154"/>
      <c r="C15" s="60"/>
      <c r="D15" s="157">
        <v>6484</v>
      </c>
      <c r="E15" s="76"/>
    </row>
    <row r="16" spans="1:5" ht="27" customHeight="1"/>
    <row r="17" spans="1:18" ht="27" customHeight="1"/>
    <row r="18" spans="1:18" s="31" customFormat="1" ht="32.25" customHeight="1">
      <c r="A18" s="41" t="s">
        <v>65</v>
      </c>
      <c r="B18" s="41"/>
      <c r="C18" s="41"/>
      <c r="D18" s="41"/>
      <c r="E18" s="41"/>
      <c r="F18" s="29"/>
      <c r="G18" s="29"/>
      <c r="H18" s="29"/>
      <c r="I18" s="29"/>
    </row>
    <row r="19" spans="1:18" s="31" customFormat="1" ht="27" customHeight="1">
      <c r="A19" s="28" t="s">
        <v>66</v>
      </c>
      <c r="B19" s="28"/>
      <c r="C19" s="28"/>
      <c r="D19" s="28"/>
      <c r="E19" s="28"/>
      <c r="F19" s="77">
        <v>2013</v>
      </c>
      <c r="G19" s="77">
        <v>2014</v>
      </c>
      <c r="H19" s="77">
        <v>2015</v>
      </c>
      <c r="I19" s="77">
        <v>2016</v>
      </c>
      <c r="J19" s="77">
        <v>2017</v>
      </c>
      <c r="K19" s="77">
        <v>2018</v>
      </c>
      <c r="L19" s="77">
        <v>2019</v>
      </c>
      <c r="M19" s="77">
        <v>2020</v>
      </c>
      <c r="N19" s="77">
        <v>2021</v>
      </c>
      <c r="O19" s="77">
        <v>2022</v>
      </c>
      <c r="P19" s="77">
        <v>2023</v>
      </c>
      <c r="Q19" s="77">
        <v>2024</v>
      </c>
      <c r="R19" s="77">
        <v>2025</v>
      </c>
    </row>
    <row r="20" spans="1:18" s="31" customFormat="1" ht="27" customHeight="1">
      <c r="B20" s="31" t="s">
        <v>67</v>
      </c>
      <c r="F20" s="78">
        <v>4860</v>
      </c>
      <c r="G20" s="78">
        <v>3758</v>
      </c>
      <c r="H20" s="78">
        <v>1793</v>
      </c>
      <c r="I20" s="78">
        <v>1719</v>
      </c>
      <c r="J20" s="78">
        <v>2513</v>
      </c>
      <c r="K20" s="44">
        <v>2816</v>
      </c>
      <c r="L20" s="44">
        <v>2506</v>
      </c>
      <c r="M20" s="44">
        <v>2969</v>
      </c>
      <c r="N20" s="78"/>
      <c r="O20" s="78"/>
      <c r="P20" s="78"/>
      <c r="Q20" s="78"/>
      <c r="R20" s="78"/>
    </row>
    <row r="21" spans="1:18" s="31" customFormat="1" ht="27" customHeight="1">
      <c r="B21" s="31" t="s">
        <v>68</v>
      </c>
      <c r="F21" s="78"/>
      <c r="G21" s="78"/>
      <c r="H21" s="78"/>
      <c r="I21" s="78"/>
      <c r="J21" s="78"/>
      <c r="K21" s="126">
        <v>1897</v>
      </c>
      <c r="L21" s="126">
        <v>1729</v>
      </c>
      <c r="M21" s="79">
        <v>1969</v>
      </c>
      <c r="N21" s="44">
        <v>3334</v>
      </c>
      <c r="O21" s="44">
        <v>4386</v>
      </c>
      <c r="P21" s="44">
        <v>6996</v>
      </c>
      <c r="Q21" s="44">
        <v>4514</v>
      </c>
      <c r="R21" s="44">
        <v>2671</v>
      </c>
    </row>
    <row r="22" spans="1:18" s="31" customFormat="1" ht="27" customHeight="1">
      <c r="B22" s="31" t="s">
        <v>69</v>
      </c>
      <c r="F22" s="78"/>
      <c r="G22" s="78"/>
      <c r="H22" s="78"/>
      <c r="I22" s="78"/>
      <c r="J22" s="78"/>
      <c r="K22" s="126">
        <v>919</v>
      </c>
      <c r="L22" s="126">
        <v>777</v>
      </c>
      <c r="M22" s="79">
        <v>1000</v>
      </c>
      <c r="N22" s="79">
        <v>2045</v>
      </c>
      <c r="O22" s="79">
        <v>1949</v>
      </c>
      <c r="P22" s="79">
        <v>2472</v>
      </c>
      <c r="Q22" s="79">
        <v>1627</v>
      </c>
      <c r="R22" s="79">
        <v>1207</v>
      </c>
    </row>
    <row r="23" spans="1:18" s="31" customFormat="1" ht="27" customHeight="1">
      <c r="B23" s="31" t="s">
        <v>70</v>
      </c>
      <c r="F23" s="79">
        <v>441</v>
      </c>
      <c r="G23" s="79">
        <v>685</v>
      </c>
      <c r="H23" s="79">
        <v>573</v>
      </c>
      <c r="I23" s="79">
        <v>189</v>
      </c>
      <c r="J23" s="79">
        <v>346</v>
      </c>
      <c r="K23" s="79">
        <v>868</v>
      </c>
      <c r="L23" s="79">
        <v>1215</v>
      </c>
      <c r="M23" s="79">
        <v>590</v>
      </c>
      <c r="N23" s="79">
        <v>1489</v>
      </c>
      <c r="O23" s="79">
        <v>2014</v>
      </c>
      <c r="P23" s="79">
        <v>2695</v>
      </c>
      <c r="Q23" s="79">
        <v>2009</v>
      </c>
      <c r="R23" s="79">
        <v>1028</v>
      </c>
    </row>
    <row r="24" spans="1:18" s="31" customFormat="1" ht="27" customHeight="1">
      <c r="A24" s="29"/>
      <c r="B24" s="29" t="s">
        <v>71</v>
      </c>
      <c r="C24" s="29"/>
      <c r="D24" s="29"/>
      <c r="E24" s="29"/>
      <c r="F24" s="80">
        <v>871</v>
      </c>
      <c r="G24" s="80">
        <v>919</v>
      </c>
      <c r="H24" s="80">
        <v>958</v>
      </c>
      <c r="I24" s="80">
        <v>701</v>
      </c>
      <c r="J24" s="80">
        <v>715</v>
      </c>
      <c r="K24" s="80">
        <v>792</v>
      </c>
      <c r="L24" s="80">
        <v>694</v>
      </c>
      <c r="M24" s="80">
        <v>746</v>
      </c>
      <c r="N24" s="80">
        <v>1144</v>
      </c>
      <c r="O24" s="80">
        <v>1159</v>
      </c>
      <c r="P24" s="80">
        <v>795</v>
      </c>
      <c r="Q24" s="80">
        <v>889</v>
      </c>
      <c r="R24" s="80">
        <v>1114</v>
      </c>
    </row>
    <row r="25" spans="1:18" s="31" customFormat="1" ht="27" customHeight="1">
      <c r="A25" s="29"/>
      <c r="B25" s="29"/>
      <c r="C25" s="29"/>
      <c r="D25" s="29" t="s">
        <v>72</v>
      </c>
      <c r="E25" s="29"/>
      <c r="F25" s="72">
        <v>6172</v>
      </c>
      <c r="G25" s="72">
        <v>5362</v>
      </c>
      <c r="H25" s="72">
        <v>3324</v>
      </c>
      <c r="I25" s="72">
        <v>2609</v>
      </c>
      <c r="J25" s="72">
        <v>3574</v>
      </c>
      <c r="K25" s="72">
        <v>4476</v>
      </c>
      <c r="L25" s="72">
        <v>4415</v>
      </c>
      <c r="M25" s="72">
        <f>SUM(M21:M24)</f>
        <v>4305</v>
      </c>
      <c r="N25" s="72">
        <f>SUM(N20:N24)</f>
        <v>8012</v>
      </c>
      <c r="O25" s="72">
        <f>SUM(O20:O24)</f>
        <v>9508</v>
      </c>
      <c r="P25" s="72">
        <f>SUM(P20:P24)</f>
        <v>12958</v>
      </c>
      <c r="Q25" s="72">
        <f>SUM(Q20:Q24)</f>
        <v>9039</v>
      </c>
      <c r="R25" s="72">
        <f>SUM(R20:R24)</f>
        <v>6020</v>
      </c>
    </row>
    <row r="26" spans="1:18" s="31" customFormat="1" ht="27" customHeight="1"/>
    <row r="27" spans="1:18" s="31" customFormat="1" ht="27" customHeight="1">
      <c r="A27" s="48" t="s">
        <v>73</v>
      </c>
      <c r="B27" s="52"/>
      <c r="C27" s="52"/>
      <c r="D27" s="52"/>
      <c r="E27" s="52"/>
    </row>
    <row r="28" spans="1:18">
      <c r="A28" s="48" t="s">
        <v>74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P28" s="31"/>
    </row>
    <row r="29" spans="1:18">
      <c r="A29" s="48" t="s">
        <v>75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P29" s="31"/>
    </row>
    <row r="30" spans="1:18" s="31" customFormat="1" ht="27" customHeight="1">
      <c r="A30" s="48" t="s">
        <v>76</v>
      </c>
      <c r="B30" s="48"/>
      <c r="C30" s="48"/>
      <c r="D30" s="48"/>
      <c r="E30" s="48"/>
    </row>
    <row r="31" spans="1:18">
      <c r="A31" s="152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</row>
    <row r="33" spans="7:16">
      <c r="G33" s="137"/>
      <c r="H33" s="137"/>
      <c r="I33" s="137"/>
      <c r="J33" s="137"/>
      <c r="K33" s="137"/>
      <c r="L33" s="137"/>
      <c r="M33" s="137"/>
      <c r="N33" s="137"/>
      <c r="O33" s="137"/>
      <c r="P33" s="137"/>
    </row>
    <row r="34" spans="7:16">
      <c r="G34" s="138"/>
      <c r="H34" s="138"/>
      <c r="I34" s="138"/>
      <c r="J34" s="138"/>
      <c r="K34" s="138"/>
      <c r="L34" s="138"/>
      <c r="M34" s="138"/>
      <c r="N34" s="138"/>
      <c r="O34" s="138"/>
      <c r="P34" s="138"/>
    </row>
    <row r="36" spans="7:16">
      <c r="G36" s="139"/>
      <c r="H36" s="139"/>
      <c r="I36" s="139"/>
      <c r="J36" s="139"/>
      <c r="K36" s="139"/>
      <c r="L36" s="139"/>
      <c r="M36" s="139"/>
      <c r="N36" s="139"/>
      <c r="O36" s="139"/>
      <c r="P36" s="139"/>
    </row>
  </sheetData>
  <mergeCells count="14">
    <mergeCell ref="A8:B8"/>
    <mergeCell ref="A3:B3"/>
    <mergeCell ref="A4:B4"/>
    <mergeCell ref="A5:B5"/>
    <mergeCell ref="A6:B6"/>
    <mergeCell ref="A7:B7"/>
    <mergeCell ref="A9:B9"/>
    <mergeCell ref="A10:B10"/>
    <mergeCell ref="A11:B11"/>
    <mergeCell ref="A14:B14"/>
    <mergeCell ref="A31:L31"/>
    <mergeCell ref="A12:B12"/>
    <mergeCell ref="A13:B13"/>
    <mergeCell ref="A15:B15"/>
  </mergeCells>
  <pageMargins left="0.5" right="0.5" top="0.5" bottom="0.5" header="0.5" footer="0.25"/>
  <pageSetup scale="32" firstPageNumber="4" orientation="landscape" useFirstPageNumber="1" r:id="rId1"/>
  <headerFooter alignWithMargins="0">
    <oddFooter>&amp;R&amp;"Calibri"&amp;11&amp;K000000&amp;"Calibri"&amp;11&amp;K000000&amp;"Calibri"&amp;11&amp;K000000&amp;12&amp;A_x000D_&amp;1#&amp;"Calibri"&amp;10&amp;KFF0000Company Use</oddFooter>
  </headerFooter>
  <customProperties>
    <customPr name="_pios_id" r:id="rId2"/>
    <customPr name="EpmWorksheetKeyString_GUID" r:id="rId3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31FBE-71F9-4F67-AB4B-A12CA776D96B}">
  <sheetPr>
    <tabColor theme="9" tint="0.79998168889431442"/>
    <pageSetUpPr fitToPage="1"/>
  </sheetPr>
  <dimension ref="A1:O50"/>
  <sheetViews>
    <sheetView view="pageBreakPreview" zoomScale="40" zoomScaleNormal="50" zoomScaleSheetLayoutView="40" workbookViewId="0"/>
  </sheetViews>
  <sheetFormatPr defaultColWidth="11.453125" defaultRowHeight="23"/>
  <cols>
    <col min="1" max="1" width="6" style="52" customWidth="1"/>
    <col min="2" max="2" width="115.7265625" style="52" customWidth="1"/>
    <col min="3" max="15" width="24.7265625" style="52" customWidth="1"/>
    <col min="16" max="16384" width="11.453125" style="52"/>
  </cols>
  <sheetData>
    <row r="1" spans="1:15" ht="32.25" customHeight="1">
      <c r="A1" s="25" t="s">
        <v>116</v>
      </c>
      <c r="B1" s="81"/>
    </row>
    <row r="2" spans="1:15" s="31" customFormat="1" ht="27" customHeight="1">
      <c r="A2" s="28" t="s">
        <v>77</v>
      </c>
      <c r="B2" s="28"/>
      <c r="C2" s="123">
        <v>2013</v>
      </c>
      <c r="D2" s="123">
        <v>2014</v>
      </c>
      <c r="E2" s="123">
        <v>2015</v>
      </c>
      <c r="F2" s="123">
        <v>2016</v>
      </c>
      <c r="G2" s="123">
        <v>2017</v>
      </c>
      <c r="H2" s="123">
        <v>2018</v>
      </c>
      <c r="I2" s="123">
        <v>2019</v>
      </c>
      <c r="J2" s="123">
        <v>2020</v>
      </c>
      <c r="K2" s="123">
        <v>2021</v>
      </c>
      <c r="L2" s="123">
        <v>2022</v>
      </c>
      <c r="M2" s="123">
        <v>2023</v>
      </c>
      <c r="N2" s="123">
        <v>2024</v>
      </c>
      <c r="O2" s="123">
        <v>2025</v>
      </c>
    </row>
    <row r="3" spans="1:15" s="31" customFormat="1" ht="27" customHeight="1">
      <c r="B3" s="31" t="s">
        <v>78</v>
      </c>
      <c r="C3" s="44">
        <v>3023</v>
      </c>
      <c r="D3" s="44">
        <v>2569</v>
      </c>
      <c r="E3" s="44">
        <v>2900</v>
      </c>
      <c r="F3" s="44">
        <v>3141</v>
      </c>
      <c r="G3" s="44">
        <v>8168</v>
      </c>
      <c r="H3" s="44">
        <v>3195</v>
      </c>
      <c r="I3" s="44">
        <v>3175</v>
      </c>
      <c r="J3" s="44">
        <v>6145</v>
      </c>
      <c r="K3" s="44">
        <v>7188</v>
      </c>
      <c r="L3" s="44">
        <v>3767</v>
      </c>
      <c r="M3" s="44">
        <v>5720</v>
      </c>
      <c r="N3" s="44">
        <v>5615</v>
      </c>
      <c r="O3" s="44">
        <v>6340</v>
      </c>
    </row>
    <row r="4" spans="1:15" s="31" customFormat="1" ht="27" customHeight="1">
      <c r="B4" s="31" t="s">
        <v>79</v>
      </c>
      <c r="C4" s="82">
        <v>1207</v>
      </c>
      <c r="D4" s="82">
        <v>700</v>
      </c>
      <c r="E4" s="82">
        <v>48</v>
      </c>
      <c r="F4" s="82">
        <v>34</v>
      </c>
      <c r="G4" s="82">
        <v>20</v>
      </c>
      <c r="H4" s="82">
        <v>8</v>
      </c>
      <c r="I4" s="82">
        <v>1</v>
      </c>
      <c r="J4" s="82">
        <v>7</v>
      </c>
      <c r="K4" s="82">
        <v>3</v>
      </c>
      <c r="L4" s="82">
        <v>61</v>
      </c>
      <c r="M4" s="82">
        <v>104</v>
      </c>
      <c r="N4" s="82">
        <v>125</v>
      </c>
      <c r="O4" s="82">
        <v>217</v>
      </c>
    </row>
    <row r="5" spans="1:15" s="31" customFormat="1" ht="27" customHeight="1">
      <c r="B5" s="31" t="s">
        <v>184</v>
      </c>
      <c r="C5" s="88">
        <v>3471</v>
      </c>
      <c r="D5" s="88">
        <v>3634</v>
      </c>
      <c r="E5" s="88">
        <v>2395</v>
      </c>
      <c r="F5" s="88">
        <v>3134</v>
      </c>
      <c r="G5" s="88">
        <v>996</v>
      </c>
      <c r="H5" s="88">
        <v>1679</v>
      </c>
      <c r="I5" s="88">
        <v>1970</v>
      </c>
      <c r="J5" s="88">
        <v>5259</v>
      </c>
      <c r="K5" s="88">
        <v>5564</v>
      </c>
      <c r="L5" s="88">
        <v>6569</v>
      </c>
      <c r="M5" s="88">
        <v>4516</v>
      </c>
      <c r="N5" s="88">
        <v>3043</v>
      </c>
      <c r="O5" s="88">
        <v>4649</v>
      </c>
    </row>
    <row r="6" spans="1:15" s="31" customFormat="1" ht="27" customHeight="1">
      <c r="B6" s="31" t="s">
        <v>80</v>
      </c>
      <c r="C6" s="88">
        <v>1062</v>
      </c>
      <c r="D6" s="88">
        <v>706</v>
      </c>
      <c r="E6" s="88">
        <v>485</v>
      </c>
      <c r="F6" s="88">
        <v>654</v>
      </c>
      <c r="G6" s="88">
        <v>876</v>
      </c>
      <c r="H6" s="88">
        <v>1374</v>
      </c>
      <c r="I6" s="88">
        <v>1482</v>
      </c>
      <c r="J6" s="88">
        <v>1013</v>
      </c>
      <c r="K6" s="88">
        <v>1155</v>
      </c>
      <c r="L6" s="88">
        <v>1273</v>
      </c>
      <c r="M6" s="88">
        <v>1320</v>
      </c>
      <c r="N6" s="88">
        <v>1257</v>
      </c>
      <c r="O6" s="88">
        <v>1316</v>
      </c>
    </row>
    <row r="7" spans="1:15" s="31" customFormat="1" ht="27" customHeight="1">
      <c r="B7" s="31" t="s">
        <v>81</v>
      </c>
      <c r="C7" s="88">
        <v>16</v>
      </c>
      <c r="D7" s="88">
        <v>19</v>
      </c>
      <c r="E7" s="88">
        <v>1</v>
      </c>
      <c r="F7" s="88">
        <v>0</v>
      </c>
      <c r="G7" s="88"/>
      <c r="H7" s="88">
        <v>93</v>
      </c>
      <c r="I7" s="88">
        <v>65</v>
      </c>
      <c r="J7" s="88">
        <v>106</v>
      </c>
      <c r="K7" s="88">
        <v>73</v>
      </c>
      <c r="L7" s="88">
        <v>47</v>
      </c>
      <c r="M7" s="88">
        <v>64</v>
      </c>
      <c r="N7" s="88">
        <v>78</v>
      </c>
      <c r="O7" s="88">
        <v>88</v>
      </c>
    </row>
    <row r="8" spans="1:15" s="31" customFormat="1" ht="27" customHeight="1">
      <c r="B8" s="31" t="s">
        <v>82</v>
      </c>
      <c r="C8" s="88"/>
      <c r="D8" s="88"/>
      <c r="E8" s="88"/>
      <c r="F8" s="88"/>
      <c r="G8" s="88"/>
      <c r="H8" s="88">
        <v>76</v>
      </c>
      <c r="I8" s="88">
        <v>44</v>
      </c>
      <c r="J8" s="88">
        <v>26</v>
      </c>
      <c r="K8" s="88">
        <v>10</v>
      </c>
      <c r="L8" s="88"/>
      <c r="M8" s="88"/>
      <c r="N8" s="88">
        <v>2</v>
      </c>
      <c r="O8" s="88">
        <v>1</v>
      </c>
    </row>
    <row r="9" spans="1:15" s="31" customFormat="1" ht="27" customHeight="1">
      <c r="B9" s="31" t="s">
        <v>83</v>
      </c>
      <c r="C9" s="88">
        <f>983+3503-3471</f>
        <v>1015</v>
      </c>
      <c r="D9" s="88">
        <v>878</v>
      </c>
      <c r="E9" s="88">
        <v>883</v>
      </c>
      <c r="F9" s="88">
        <v>870</v>
      </c>
      <c r="G9" s="88">
        <v>1083</v>
      </c>
      <c r="H9" s="88">
        <f>1010+1700-1679</f>
        <v>1031</v>
      </c>
      <c r="I9" s="88">
        <f>1376+2017-1970</f>
        <v>1423</v>
      </c>
      <c r="J9" s="88">
        <f>1117+5290-5259</f>
        <v>1148</v>
      </c>
      <c r="K9" s="88">
        <v>1629</v>
      </c>
      <c r="L9" s="88">
        <v>1670</v>
      </c>
      <c r="M9" s="88">
        <v>1813</v>
      </c>
      <c r="N9" s="88">
        <v>2193</v>
      </c>
      <c r="O9" s="88">
        <v>1809</v>
      </c>
    </row>
    <row r="10" spans="1:15" s="31" customFormat="1" ht="27" customHeight="1">
      <c r="B10" s="31" t="s">
        <v>84</v>
      </c>
      <c r="C10" s="88">
        <v>4935</v>
      </c>
      <c r="D10" s="88">
        <v>4210</v>
      </c>
      <c r="E10" s="88">
        <v>3817</v>
      </c>
      <c r="F10" s="88">
        <v>3341</v>
      </c>
      <c r="G10" s="88">
        <v>3904</v>
      </c>
      <c r="H10" s="88">
        <v>6149</v>
      </c>
      <c r="I10" s="88">
        <v>5975</v>
      </c>
      <c r="J10" s="88">
        <v>4999</v>
      </c>
      <c r="K10" s="88">
        <v>6781</v>
      </c>
      <c r="L10" s="88">
        <v>8495</v>
      </c>
      <c r="M10" s="88">
        <v>8160</v>
      </c>
      <c r="N10" s="88">
        <v>7093</v>
      </c>
      <c r="O10" s="88">
        <v>7406</v>
      </c>
    </row>
    <row r="11" spans="1:15" s="31" customFormat="1" ht="27" customHeight="1">
      <c r="B11" s="31" t="s">
        <v>85</v>
      </c>
      <c r="C11" s="88">
        <v>5409</v>
      </c>
      <c r="D11" s="88">
        <v>5523</v>
      </c>
      <c r="E11" s="88">
        <v>5126</v>
      </c>
      <c r="F11" s="88">
        <v>5119</v>
      </c>
      <c r="G11" s="88">
        <v>5017</v>
      </c>
      <c r="H11" s="88">
        <v>5821</v>
      </c>
      <c r="I11" s="88">
        <v>5929</v>
      </c>
      <c r="J11" s="88">
        <v>5778</v>
      </c>
      <c r="K11" s="88">
        <v>5783</v>
      </c>
      <c r="L11" s="88">
        <v>6021</v>
      </c>
      <c r="M11" s="88">
        <v>6843</v>
      </c>
      <c r="N11" s="88">
        <v>7546</v>
      </c>
      <c r="O11" s="88">
        <v>8047</v>
      </c>
    </row>
    <row r="12" spans="1:15" s="31" customFormat="1" ht="27" hidden="1" customHeight="1">
      <c r="B12" s="31" t="s">
        <v>86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</row>
    <row r="13" spans="1:15" s="31" customFormat="1" ht="27" customHeight="1">
      <c r="B13" s="31" t="s">
        <v>87</v>
      </c>
      <c r="C13" s="88">
        <v>845</v>
      </c>
      <c r="D13" s="88">
        <v>791</v>
      </c>
      <c r="E13" s="88">
        <v>726</v>
      </c>
      <c r="F13" s="88">
        <v>816</v>
      </c>
      <c r="G13" s="88">
        <v>1033</v>
      </c>
      <c r="H13" s="88">
        <v>3101</v>
      </c>
      <c r="I13" s="88">
        <v>2917</v>
      </c>
      <c r="J13" s="88">
        <v>3081</v>
      </c>
      <c r="K13" s="88">
        <v>3291</v>
      </c>
      <c r="L13" s="88">
        <v>3687</v>
      </c>
      <c r="M13" s="88">
        <v>3900</v>
      </c>
      <c r="N13" s="88">
        <v>3959</v>
      </c>
      <c r="O13" s="88">
        <v>4188</v>
      </c>
    </row>
    <row r="14" spans="1:15" s="31" customFormat="1" ht="27" customHeight="1">
      <c r="B14" s="31" t="s">
        <v>88</v>
      </c>
      <c r="C14" s="88">
        <v>73</v>
      </c>
      <c r="D14" s="88">
        <v>65</v>
      </c>
      <c r="E14" s="88">
        <v>64</v>
      </c>
      <c r="F14" s="88">
        <v>104</v>
      </c>
      <c r="G14" s="88">
        <v>218</v>
      </c>
      <c r="H14" s="88">
        <v>1562</v>
      </c>
      <c r="I14" s="88">
        <v>1380</v>
      </c>
      <c r="J14" s="88">
        <v>1327</v>
      </c>
      <c r="K14" s="88">
        <v>1275</v>
      </c>
      <c r="L14" s="88">
        <v>1218</v>
      </c>
      <c r="M14" s="88">
        <v>1133</v>
      </c>
      <c r="N14" s="88">
        <v>999</v>
      </c>
      <c r="O14" s="88">
        <v>892</v>
      </c>
    </row>
    <row r="15" spans="1:15" s="31" customFormat="1" ht="27" customHeight="1">
      <c r="B15" s="31" t="s">
        <v>89</v>
      </c>
      <c r="C15" s="88">
        <v>518</v>
      </c>
      <c r="D15" s="88">
        <v>264</v>
      </c>
      <c r="E15" s="88">
        <v>212</v>
      </c>
      <c r="F15" s="88">
        <v>94</v>
      </c>
      <c r="G15" s="88">
        <v>538</v>
      </c>
      <c r="H15" s="88">
        <v>1241</v>
      </c>
      <c r="I15" s="88">
        <v>836</v>
      </c>
      <c r="J15" s="88">
        <v>859</v>
      </c>
      <c r="K15" s="88">
        <v>3539</v>
      </c>
      <c r="L15" s="88">
        <v>3666</v>
      </c>
      <c r="M15" s="88">
        <v>2936</v>
      </c>
      <c r="N15" s="88">
        <v>2839</v>
      </c>
      <c r="O15" s="88">
        <v>3181</v>
      </c>
    </row>
    <row r="16" spans="1:15" s="31" customFormat="1" ht="27" customHeight="1">
      <c r="B16" s="31" t="s">
        <v>90</v>
      </c>
      <c r="C16" s="88">
        <v>2575</v>
      </c>
      <c r="D16" s="88">
        <v>2982</v>
      </c>
      <c r="E16" s="88">
        <v>3092</v>
      </c>
      <c r="F16" s="88">
        <v>3556</v>
      </c>
      <c r="G16" s="88">
        <v>3099</v>
      </c>
      <c r="H16" s="88">
        <v>1503</v>
      </c>
      <c r="I16" s="88">
        <v>1896</v>
      </c>
      <c r="J16" s="88">
        <v>1763</v>
      </c>
      <c r="K16" s="88">
        <v>1215</v>
      </c>
      <c r="L16" s="88">
        <v>940</v>
      </c>
      <c r="M16" s="88">
        <v>2133</v>
      </c>
      <c r="N16" s="88">
        <v>2262</v>
      </c>
      <c r="O16" s="88">
        <v>2507</v>
      </c>
    </row>
    <row r="17" spans="1:15" s="31" customFormat="1" ht="27" customHeight="1">
      <c r="B17" s="31" t="s">
        <v>91</v>
      </c>
      <c r="C17" s="88">
        <f>654+211</f>
        <v>865</v>
      </c>
      <c r="D17" s="88">
        <v>1142</v>
      </c>
      <c r="E17" s="88">
        <v>1100</v>
      </c>
      <c r="F17" s="88">
        <v>1056</v>
      </c>
      <c r="G17" s="88">
        <v>1143</v>
      </c>
      <c r="H17" s="88">
        <f>1133+192</f>
        <v>1325</v>
      </c>
      <c r="I17" s="88">
        <f>1158+199</f>
        <v>1357</v>
      </c>
      <c r="J17" s="88">
        <v>1613</v>
      </c>
      <c r="K17" s="88">
        <v>1646</v>
      </c>
      <c r="L17" s="88">
        <v>1794</v>
      </c>
      <c r="M17" s="88">
        <v>1948</v>
      </c>
      <c r="N17" s="88">
        <v>2194</v>
      </c>
      <c r="O17" s="88">
        <v>2218</v>
      </c>
    </row>
    <row r="18" spans="1:15" s="31" customFormat="1" ht="27" customHeight="1">
      <c r="B18" s="31" t="s">
        <v>92</v>
      </c>
      <c r="C18" s="70">
        <v>505</v>
      </c>
      <c r="D18" s="70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</row>
    <row r="19" spans="1:15" s="31" customFormat="1" ht="27" customHeight="1">
      <c r="A19" s="28"/>
      <c r="B19" s="28" t="s">
        <v>93</v>
      </c>
      <c r="C19" s="89">
        <f>SUM(C3:C18)</f>
        <v>25519</v>
      </c>
      <c r="D19" s="89">
        <f t="shared" ref="D19:K19" si="0">SUM(D3:D18)</f>
        <v>23483</v>
      </c>
      <c r="E19" s="89">
        <f t="shared" si="0"/>
        <v>20849</v>
      </c>
      <c r="F19" s="89">
        <f t="shared" si="0"/>
        <v>21919</v>
      </c>
      <c r="G19" s="89">
        <f t="shared" si="0"/>
        <v>26095</v>
      </c>
      <c r="H19" s="89">
        <f t="shared" si="0"/>
        <v>28158</v>
      </c>
      <c r="I19" s="89">
        <f t="shared" si="0"/>
        <v>28450</v>
      </c>
      <c r="J19" s="89">
        <f t="shared" si="0"/>
        <v>33124</v>
      </c>
      <c r="K19" s="89">
        <f t="shared" si="0"/>
        <v>39152</v>
      </c>
      <c r="L19" s="89">
        <f>SUM(L3:L18)</f>
        <v>39208</v>
      </c>
      <c r="M19" s="89">
        <f>SUM(M3:M18)</f>
        <v>40590</v>
      </c>
      <c r="N19" s="89">
        <f>SUM(N3:N18)</f>
        <v>39205</v>
      </c>
      <c r="O19" s="89">
        <f>SUM(O3:O18)</f>
        <v>42859</v>
      </c>
    </row>
    <row r="20" spans="1:15" s="31" customFormat="1" ht="27" customHeight="1">
      <c r="A20" s="28" t="s">
        <v>94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1:15" s="31" customFormat="1" ht="27" customHeight="1">
      <c r="A21" s="31" t="s">
        <v>95</v>
      </c>
    </row>
    <row r="22" spans="1:15" s="31" customFormat="1" ht="27" customHeight="1">
      <c r="B22" s="31" t="s">
        <v>96</v>
      </c>
      <c r="C22" s="83">
        <v>1081</v>
      </c>
      <c r="D22" s="83">
        <v>434</v>
      </c>
      <c r="E22" s="83">
        <v>464</v>
      </c>
      <c r="F22" s="83">
        <v>249</v>
      </c>
      <c r="G22" s="83">
        <v>376</v>
      </c>
      <c r="H22" s="83">
        <v>1434</v>
      </c>
      <c r="I22" s="83">
        <v>987</v>
      </c>
      <c r="J22" s="83">
        <v>292</v>
      </c>
      <c r="K22" s="83">
        <v>1509</v>
      </c>
      <c r="L22" s="83">
        <v>1040</v>
      </c>
      <c r="M22" s="83">
        <v>1230</v>
      </c>
      <c r="N22" s="83">
        <v>911</v>
      </c>
      <c r="O22" s="83">
        <v>414</v>
      </c>
    </row>
    <row r="23" spans="1:15" s="31" customFormat="1" ht="27" customHeight="1">
      <c r="B23" s="31" t="s">
        <v>97</v>
      </c>
      <c r="C23" s="83"/>
      <c r="D23" s="83"/>
      <c r="E23" s="83"/>
      <c r="F23" s="83"/>
      <c r="G23" s="83"/>
      <c r="H23" s="83">
        <v>75</v>
      </c>
      <c r="I23" s="83">
        <v>44</v>
      </c>
      <c r="J23" s="83">
        <v>26</v>
      </c>
      <c r="K23" s="83">
        <v>10</v>
      </c>
      <c r="L23" s="88"/>
      <c r="M23" s="88"/>
      <c r="N23" s="88">
        <v>2</v>
      </c>
      <c r="O23" s="88">
        <v>1</v>
      </c>
    </row>
    <row r="24" spans="1:15" s="31" customFormat="1" ht="27" hidden="1" customHeight="1">
      <c r="B24" s="31" t="s">
        <v>98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</row>
    <row r="25" spans="1:15" s="31" customFormat="1" ht="27" customHeight="1">
      <c r="B25" s="31" t="s">
        <v>99</v>
      </c>
      <c r="C25" s="83">
        <v>8098</v>
      </c>
      <c r="D25" s="83">
        <v>7619</v>
      </c>
      <c r="E25" s="83">
        <v>6882</v>
      </c>
      <c r="F25" s="83">
        <v>6743</v>
      </c>
      <c r="G25" s="83">
        <v>7840</v>
      </c>
      <c r="H25" s="83">
        <f>9383+129</f>
        <v>9512</v>
      </c>
      <c r="I25" s="83">
        <f>9232+142</f>
        <v>9374</v>
      </c>
      <c r="J25" s="83">
        <f>9114+104</f>
        <v>9218</v>
      </c>
      <c r="K25" s="83">
        <v>11198</v>
      </c>
      <c r="L25" s="83">
        <v>12962</v>
      </c>
      <c r="M25" s="83">
        <v>14862</v>
      </c>
      <c r="N25" s="83">
        <v>13534</v>
      </c>
      <c r="O25" s="83">
        <v>12757</v>
      </c>
    </row>
    <row r="26" spans="1:15" s="31" customFormat="1" ht="27" customHeight="1">
      <c r="B26" s="31" t="s">
        <v>90</v>
      </c>
      <c r="C26" s="83">
        <v>92</v>
      </c>
      <c r="D26" s="83">
        <v>87</v>
      </c>
      <c r="E26" s="83">
        <v>87</v>
      </c>
      <c r="F26" s="83">
        <v>87</v>
      </c>
      <c r="G26" s="83">
        <v>116</v>
      </c>
      <c r="H26" s="83">
        <v>497</v>
      </c>
      <c r="I26" s="83">
        <v>414</v>
      </c>
      <c r="J26" s="83">
        <v>385</v>
      </c>
      <c r="K26" s="83">
        <v>438</v>
      </c>
      <c r="L26" s="83">
        <v>380</v>
      </c>
      <c r="M26" s="83">
        <v>452</v>
      </c>
      <c r="N26" s="83">
        <v>434</v>
      </c>
      <c r="O26" s="83">
        <v>347</v>
      </c>
    </row>
    <row r="27" spans="1:15" s="31" customFormat="1" ht="27" customHeight="1">
      <c r="B27" s="31" t="s">
        <v>100</v>
      </c>
      <c r="C27" s="83">
        <v>4871</v>
      </c>
      <c r="D27" s="83">
        <v>4643</v>
      </c>
      <c r="E27" s="83">
        <v>4461</v>
      </c>
      <c r="F27" s="83">
        <v>4565</v>
      </c>
      <c r="G27" s="83">
        <v>5491</v>
      </c>
      <c r="H27" s="83">
        <v>4714</v>
      </c>
      <c r="I27" s="83">
        <v>5415</v>
      </c>
      <c r="J27" s="83">
        <v>10124</v>
      </c>
      <c r="K27" s="83">
        <v>8915</v>
      </c>
      <c r="L27" s="83">
        <v>7917</v>
      </c>
      <c r="M27" s="83">
        <v>7210</v>
      </c>
      <c r="N27" s="83">
        <v>6603</v>
      </c>
      <c r="O27" s="83">
        <v>8756</v>
      </c>
    </row>
    <row r="28" spans="1:15" s="31" customFormat="1" ht="27" customHeight="1">
      <c r="B28" s="31" t="s">
        <v>101</v>
      </c>
      <c r="C28" s="83">
        <v>5347</v>
      </c>
      <c r="D28" s="83">
        <v>6448</v>
      </c>
      <c r="E28" s="83">
        <v>6723</v>
      </c>
      <c r="F28" s="83">
        <v>8206</v>
      </c>
      <c r="G28" s="83">
        <v>7342</v>
      </c>
      <c r="H28" s="83">
        <v>5660</v>
      </c>
      <c r="I28" s="83">
        <v>5912</v>
      </c>
      <c r="J28" s="83">
        <v>5366</v>
      </c>
      <c r="K28" s="83">
        <v>4239</v>
      </c>
      <c r="L28" s="83">
        <v>2351</v>
      </c>
      <c r="M28" s="83">
        <v>2032</v>
      </c>
      <c r="N28" s="83">
        <v>2250</v>
      </c>
      <c r="O28" s="83">
        <v>1646</v>
      </c>
    </row>
    <row r="29" spans="1:15" s="31" customFormat="1" ht="27" customHeight="1">
      <c r="B29" s="31" t="s">
        <v>102</v>
      </c>
      <c r="C29" s="83">
        <v>120</v>
      </c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</row>
    <row r="30" spans="1:15" s="31" customFormat="1" ht="27" customHeight="1">
      <c r="A30" s="28"/>
      <c r="B30" s="28" t="s">
        <v>103</v>
      </c>
      <c r="C30" s="89">
        <f t="shared" ref="C30:M30" si="1">SUM(C22:C29)</f>
        <v>19609</v>
      </c>
      <c r="D30" s="89">
        <f t="shared" si="1"/>
        <v>19231</v>
      </c>
      <c r="E30" s="89">
        <f t="shared" si="1"/>
        <v>18617</v>
      </c>
      <c r="F30" s="89">
        <f t="shared" si="1"/>
        <v>19850</v>
      </c>
      <c r="G30" s="89">
        <f t="shared" si="1"/>
        <v>21165</v>
      </c>
      <c r="H30" s="89">
        <f t="shared" si="1"/>
        <v>21892</v>
      </c>
      <c r="I30" s="89">
        <f t="shared" si="1"/>
        <v>22146</v>
      </c>
      <c r="J30" s="89">
        <f t="shared" si="1"/>
        <v>25411</v>
      </c>
      <c r="K30" s="89">
        <f t="shared" si="1"/>
        <v>26309</v>
      </c>
      <c r="L30" s="89">
        <f t="shared" si="1"/>
        <v>24650</v>
      </c>
      <c r="M30" s="89">
        <f t="shared" si="1"/>
        <v>25786</v>
      </c>
      <c r="N30" s="89">
        <f t="shared" ref="N30:O30" si="2">SUM(N22:N29)</f>
        <v>23734</v>
      </c>
      <c r="O30" s="89">
        <f t="shared" si="2"/>
        <v>23921</v>
      </c>
    </row>
    <row r="31" spans="1:15" s="31" customFormat="1" ht="27" customHeight="1">
      <c r="A31" s="28" t="s">
        <v>104</v>
      </c>
      <c r="B31" s="28"/>
      <c r="C31" s="89"/>
      <c r="D31" s="89"/>
      <c r="E31" s="89"/>
      <c r="F31" s="89">
        <v>14</v>
      </c>
      <c r="G31" s="89">
        <v>14</v>
      </c>
      <c r="H31" s="89">
        <v>14</v>
      </c>
      <c r="I31" s="89">
        <v>14</v>
      </c>
      <c r="J31" s="89"/>
      <c r="K31" s="89"/>
      <c r="L31" s="89">
        <v>92</v>
      </c>
      <c r="M31" s="89">
        <v>97</v>
      </c>
      <c r="N31" s="89">
        <v>82</v>
      </c>
      <c r="O31" s="89">
        <v>51</v>
      </c>
    </row>
    <row r="32" spans="1:15" s="31" customFormat="1" ht="27" customHeight="1">
      <c r="A32" s="31" t="s">
        <v>105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</row>
    <row r="33" spans="1:15" s="31" customFormat="1" ht="27" hidden="1" customHeight="1">
      <c r="B33" s="122" t="s">
        <v>106</v>
      </c>
      <c r="C33" s="83">
        <v>3524.2</v>
      </c>
      <c r="D33" s="83">
        <v>3675.4</v>
      </c>
      <c r="E33" s="83">
        <v>3825.6</v>
      </c>
      <c r="F33" s="83">
        <v>3911.8</v>
      </c>
      <c r="G33" s="83">
        <v>4280.5</v>
      </c>
      <c r="H33" s="83">
        <v>4474</v>
      </c>
      <c r="I33" s="83">
        <v>4642</v>
      </c>
      <c r="J33" s="83">
        <v>4895</v>
      </c>
      <c r="K33" s="83">
        <v>5054</v>
      </c>
      <c r="L33" s="83">
        <v>5165</v>
      </c>
      <c r="M33" s="83"/>
      <c r="N33" s="83"/>
      <c r="O33" s="83"/>
    </row>
    <row r="34" spans="1:15" s="31" customFormat="1" ht="27" hidden="1" customHeight="1">
      <c r="B34" s="122" t="s">
        <v>107</v>
      </c>
      <c r="C34" s="84">
        <v>-10210.9</v>
      </c>
      <c r="D34" s="84">
        <v>-12834.2</v>
      </c>
      <c r="E34" s="84">
        <v>-15497.6</v>
      </c>
      <c r="F34" s="84">
        <v>-15677.1</v>
      </c>
      <c r="G34" s="84">
        <v>-15460.8</v>
      </c>
      <c r="H34" s="84">
        <v>-16312</v>
      </c>
      <c r="I34" s="130">
        <v>-17474</v>
      </c>
      <c r="J34" s="84">
        <v>-18065</v>
      </c>
      <c r="K34" s="84">
        <v>-20533</v>
      </c>
      <c r="L34" s="84">
        <v>-24094</v>
      </c>
      <c r="M34" s="84"/>
      <c r="N34" s="84"/>
      <c r="O34" s="84"/>
    </row>
    <row r="35" spans="1:15" s="31" customFormat="1" ht="27" hidden="1" customHeight="1">
      <c r="B35" s="122" t="s">
        <v>108</v>
      </c>
      <c r="C35" s="84">
        <v>19645.599999999999</v>
      </c>
      <c r="D35" s="84">
        <v>22004.400000000001</v>
      </c>
      <c r="E35" s="84">
        <v>23144.799999999999</v>
      </c>
      <c r="F35" s="84">
        <v>23911.3</v>
      </c>
      <c r="G35" s="84">
        <v>25301.3</v>
      </c>
      <c r="H35" s="84">
        <v>27553</v>
      </c>
      <c r="I35" s="131">
        <v>29852</v>
      </c>
      <c r="J35" s="131">
        <v>31646</v>
      </c>
      <c r="K35" s="131">
        <v>36449</v>
      </c>
      <c r="L35" s="131">
        <v>42247</v>
      </c>
      <c r="M35" s="131"/>
      <c r="N35" s="131"/>
      <c r="O35" s="131"/>
    </row>
    <row r="36" spans="1:15" s="31" customFormat="1" ht="27" hidden="1" customHeight="1">
      <c r="B36" s="122" t="s">
        <v>109</v>
      </c>
      <c r="C36" s="84">
        <v>-2693.1</v>
      </c>
      <c r="D36" s="84">
        <v>-3783</v>
      </c>
      <c r="E36" s="84">
        <v>-4729.3999999999996</v>
      </c>
      <c r="F36" s="84">
        <v>-5626</v>
      </c>
      <c r="G36" s="84">
        <v>-4563.7000000000007</v>
      </c>
      <c r="H36" s="84">
        <v>-4427</v>
      </c>
      <c r="I36" s="84">
        <v>-5607</v>
      </c>
      <c r="J36" s="84">
        <v>-5539</v>
      </c>
      <c r="K36" s="84">
        <v>-2539</v>
      </c>
      <c r="L36" s="84">
        <v>-3056</v>
      </c>
      <c r="M36" s="84"/>
      <c r="N36" s="84"/>
      <c r="O36" s="84"/>
    </row>
    <row r="37" spans="1:15" s="31" customFormat="1" ht="27" customHeight="1">
      <c r="B37" s="31" t="s">
        <v>110</v>
      </c>
      <c r="C37" s="84">
        <v>10266</v>
      </c>
      <c r="D37" s="84">
        <v>9063</v>
      </c>
      <c r="E37" s="84">
        <v>6743</v>
      </c>
      <c r="F37" s="84">
        <v>6520</v>
      </c>
      <c r="G37" s="84">
        <v>9557</v>
      </c>
      <c r="H37" s="84">
        <v>11288</v>
      </c>
      <c r="I37" s="131">
        <v>11413</v>
      </c>
      <c r="J37" s="131">
        <v>12937</v>
      </c>
      <c r="K37" s="131">
        <v>18431</v>
      </c>
      <c r="L37" s="131">
        <f>SUM(L33:L36)</f>
        <v>20262</v>
      </c>
      <c r="M37" s="131">
        <v>21785</v>
      </c>
      <c r="N37" s="131">
        <v>22836</v>
      </c>
      <c r="O37" s="131">
        <v>25950</v>
      </c>
    </row>
    <row r="38" spans="1:15" s="31" customFormat="1" ht="27" customHeight="1">
      <c r="B38" s="31" t="s">
        <v>111</v>
      </c>
      <c r="C38" s="84">
        <v>2</v>
      </c>
      <c r="D38" s="84">
        <v>3</v>
      </c>
      <c r="E38" s="84">
        <v>14</v>
      </c>
      <c r="F38" s="84">
        <v>11</v>
      </c>
      <c r="G38" s="84">
        <v>3</v>
      </c>
      <c r="H38" s="84">
        <v>3</v>
      </c>
      <c r="I38" s="131">
        <v>4</v>
      </c>
      <c r="J38" s="131">
        <v>7</v>
      </c>
      <c r="K38" s="131">
        <v>3</v>
      </c>
      <c r="L38" s="131">
        <v>3</v>
      </c>
      <c r="M38" s="131">
        <v>4</v>
      </c>
      <c r="N38" s="131">
        <v>7</v>
      </c>
      <c r="O38" s="131">
        <v>6</v>
      </c>
    </row>
    <row r="39" spans="1:15" s="31" customFormat="1" ht="27" customHeight="1">
      <c r="B39" s="31" t="s">
        <v>179</v>
      </c>
      <c r="C39" s="84">
        <v>-4358</v>
      </c>
      <c r="D39" s="84">
        <v>-4814</v>
      </c>
      <c r="E39" s="84">
        <v>-4525</v>
      </c>
      <c r="F39" s="84">
        <v>-4476</v>
      </c>
      <c r="G39" s="84">
        <v>-4644</v>
      </c>
      <c r="H39" s="84">
        <v>-5039</v>
      </c>
      <c r="I39" s="84">
        <v>-5127</v>
      </c>
      <c r="J39" s="84">
        <v>-5231</v>
      </c>
      <c r="K39" s="84">
        <v>-5591</v>
      </c>
      <c r="L39" s="84">
        <v>-5799</v>
      </c>
      <c r="M39" s="84">
        <v>-7082</v>
      </c>
      <c r="N39" s="84">
        <v>-7454</v>
      </c>
      <c r="O39" s="84">
        <v>-7069</v>
      </c>
    </row>
    <row r="40" spans="1:15" s="31" customFormat="1" ht="27" customHeight="1">
      <c r="A40" s="28"/>
      <c r="B40" s="28" t="s">
        <v>112</v>
      </c>
      <c r="C40" s="85">
        <f t="shared" ref="C40:K40" si="3">+C37+C38+C39</f>
        <v>5910</v>
      </c>
      <c r="D40" s="85">
        <f t="shared" si="3"/>
        <v>4252</v>
      </c>
      <c r="E40" s="85">
        <f t="shared" si="3"/>
        <v>2232</v>
      </c>
      <c r="F40" s="85">
        <f>+F37+F38+F39</f>
        <v>2055</v>
      </c>
      <c r="G40" s="85">
        <f>+G37+G38+G39</f>
        <v>4916</v>
      </c>
      <c r="H40" s="85">
        <f t="shared" si="3"/>
        <v>6252</v>
      </c>
      <c r="I40" s="85">
        <f t="shared" si="3"/>
        <v>6290</v>
      </c>
      <c r="J40" s="85">
        <f t="shared" si="3"/>
        <v>7713</v>
      </c>
      <c r="K40" s="85">
        <f t="shared" si="3"/>
        <v>12843</v>
      </c>
      <c r="L40" s="85">
        <f>+L37+L38+L39</f>
        <v>14466</v>
      </c>
      <c r="M40" s="85">
        <f>+M37+M38+M39</f>
        <v>14707</v>
      </c>
      <c r="N40" s="85">
        <f>+N37+N38+N39</f>
        <v>15389</v>
      </c>
      <c r="O40" s="85">
        <f>+O37+O38+O39</f>
        <v>18887</v>
      </c>
    </row>
    <row r="41" spans="1:15" s="31" customFormat="1" ht="27" customHeight="1">
      <c r="A41" s="29"/>
      <c r="B41" s="29" t="s">
        <v>113</v>
      </c>
      <c r="C41" s="47">
        <f>+C40+C30+C31</f>
        <v>25519</v>
      </c>
      <c r="D41" s="47">
        <f t="shared" ref="D41:K41" si="4">+D40+D30+D31</f>
        <v>23483</v>
      </c>
      <c r="E41" s="47">
        <f t="shared" si="4"/>
        <v>20849</v>
      </c>
      <c r="F41" s="47">
        <f>+F40+F30+F31</f>
        <v>21919</v>
      </c>
      <c r="G41" s="47">
        <f t="shared" si="4"/>
        <v>26095</v>
      </c>
      <c r="H41" s="47">
        <f>+H40+H30+H31</f>
        <v>28158</v>
      </c>
      <c r="I41" s="47">
        <f>+I40+I30+I31</f>
        <v>28450</v>
      </c>
      <c r="J41" s="47">
        <f t="shared" si="4"/>
        <v>33124</v>
      </c>
      <c r="K41" s="47">
        <f t="shared" si="4"/>
        <v>39152</v>
      </c>
      <c r="L41" s="47">
        <f>+L40+L30+L31</f>
        <v>39208</v>
      </c>
      <c r="M41" s="47">
        <f>+M40+M30+M31</f>
        <v>40590</v>
      </c>
      <c r="N41" s="47">
        <f>+N40+N30+N31</f>
        <v>39205</v>
      </c>
      <c r="O41" s="47">
        <f>+O40+O30+O31</f>
        <v>42859</v>
      </c>
    </row>
    <row r="42" spans="1:15" s="31" customFormat="1" ht="27" customHeight="1">
      <c r="A42" s="29" t="s">
        <v>190</v>
      </c>
      <c r="B42" s="29"/>
      <c r="C42" s="86">
        <v>27.46</v>
      </c>
      <c r="D42" s="86">
        <v>26.23</v>
      </c>
      <c r="E42" s="86">
        <v>21.29</v>
      </c>
      <c r="F42" s="86">
        <v>20.71</v>
      </c>
      <c r="G42" s="86">
        <v>29.7</v>
      </c>
      <c r="H42" s="86">
        <v>35.450000000000003</v>
      </c>
      <c r="I42" s="86">
        <v>36.450000000000003</v>
      </c>
      <c r="J42" s="86">
        <v>41.25</v>
      </c>
      <c r="K42" s="86">
        <v>59.83</v>
      </c>
      <c r="L42" s="86">
        <v>67.819999999999993</v>
      </c>
      <c r="M42" s="86">
        <v>77.37</v>
      </c>
      <c r="N42" s="86">
        <v>84.03</v>
      </c>
      <c r="O42" s="86">
        <v>95.99</v>
      </c>
    </row>
    <row r="43" spans="1:15" s="31" customFormat="1" ht="27" customHeight="1"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</row>
    <row r="44" spans="1:15" s="63" customFormat="1" ht="27" customHeight="1">
      <c r="A44" s="48" t="s">
        <v>114</v>
      </c>
      <c r="M44" s="147"/>
    </row>
    <row r="45" spans="1:15">
      <c r="A45" s="48" t="s">
        <v>115</v>
      </c>
      <c r="C45" s="87"/>
      <c r="D45" s="87"/>
      <c r="E45" s="87"/>
      <c r="F45" s="87"/>
      <c r="G45" s="87"/>
      <c r="H45" s="87"/>
    </row>
    <row r="46" spans="1:15">
      <c r="B46" s="48" t="s">
        <v>186</v>
      </c>
      <c r="M46" s="146"/>
    </row>
    <row r="47" spans="1:15">
      <c r="B47" s="48" t="s">
        <v>187</v>
      </c>
    </row>
    <row r="48" spans="1:15">
      <c r="B48" s="48" t="s">
        <v>188</v>
      </c>
    </row>
    <row r="49" spans="1:13">
      <c r="A49" s="48" t="s">
        <v>22</v>
      </c>
      <c r="M49" s="146"/>
    </row>
    <row r="50" spans="1:13">
      <c r="A50" s="48"/>
    </row>
  </sheetData>
  <pageMargins left="0.5" right="0.5" top="0.5" bottom="0.5" header="0.5" footer="0.25"/>
  <pageSetup scale="28" firstPageNumber="4" orientation="landscape" useFirstPageNumber="1" r:id="rId1"/>
  <headerFooter alignWithMargins="0">
    <oddFooter>&amp;R&amp;"Calibri"&amp;11&amp;K000000&amp;"Calibri"&amp;11&amp;K000000&amp;"Calibri"&amp;11&amp;K000000&amp;12&amp;A_x000D_&amp;1#&amp;"Calibri"&amp;10&amp;KFF0000Company Use</oddFooter>
  </headerFooter>
  <customProperties>
    <customPr name="_pios_id" r:id="rId2"/>
    <customPr name="EpmWorksheetKeyString_GUID" r:id="rId3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63A8-F7A0-4164-9DDF-638C365CDC21}">
  <sheetPr>
    <tabColor theme="9" tint="0.79998168889431442"/>
    <pageSetUpPr fitToPage="1"/>
  </sheetPr>
  <dimension ref="A1:W73"/>
  <sheetViews>
    <sheetView zoomScale="50" zoomScaleNormal="50" zoomScaleSheetLayoutView="40" workbookViewId="0"/>
  </sheetViews>
  <sheetFormatPr defaultColWidth="11.453125" defaultRowHeight="23"/>
  <cols>
    <col min="1" max="1" width="6" style="99" customWidth="1"/>
    <col min="2" max="2" width="149.7265625" style="52" customWidth="1"/>
    <col min="3" max="15" width="24.7265625" style="52" customWidth="1"/>
    <col min="16" max="22" width="12.26953125" style="52" customWidth="1"/>
    <col min="23" max="16384" width="11.453125" style="52"/>
  </cols>
  <sheetData>
    <row r="1" spans="1:23" ht="32.25" customHeight="1">
      <c r="A1" s="91" t="s">
        <v>159</v>
      </c>
      <c r="B1" s="81"/>
    </row>
    <row r="2" spans="1:23" s="94" customFormat="1" ht="27" customHeight="1">
      <c r="A2" s="92"/>
      <c r="B2" s="93"/>
      <c r="C2" s="123">
        <v>2013</v>
      </c>
      <c r="D2" s="123">
        <v>2014</v>
      </c>
      <c r="E2" s="123">
        <v>2015</v>
      </c>
      <c r="F2" s="123">
        <v>2016</v>
      </c>
      <c r="G2" s="123">
        <v>2017</v>
      </c>
      <c r="H2" s="123">
        <v>2018</v>
      </c>
      <c r="I2" s="123">
        <v>2019</v>
      </c>
      <c r="J2" s="123">
        <v>2020</v>
      </c>
      <c r="K2" s="123">
        <v>2021</v>
      </c>
      <c r="L2" s="123">
        <v>2022</v>
      </c>
      <c r="M2" s="123">
        <v>2023</v>
      </c>
      <c r="N2" s="123">
        <v>2024</v>
      </c>
      <c r="O2" s="123">
        <v>2025</v>
      </c>
    </row>
    <row r="3" spans="1:23" s="31" customFormat="1" ht="27" customHeight="1">
      <c r="A3" s="55" t="s">
        <v>117</v>
      </c>
    </row>
    <row r="4" spans="1:23" s="31" customFormat="1" ht="27" customHeight="1">
      <c r="A4" s="55" t="s">
        <v>118</v>
      </c>
      <c r="C4" s="128">
        <v>2973</v>
      </c>
      <c r="D4" s="128">
        <v>2539</v>
      </c>
      <c r="E4" s="128">
        <v>1308</v>
      </c>
      <c r="F4" s="128">
        <v>1054</v>
      </c>
      <c r="G4" s="128">
        <v>1682</v>
      </c>
      <c r="H4" s="128">
        <v>1429</v>
      </c>
      <c r="I4" s="128">
        <v>2718</v>
      </c>
      <c r="J4" s="128">
        <v>2187</v>
      </c>
      <c r="K4" s="128">
        <v>5084</v>
      </c>
      <c r="L4" s="128">
        <v>6250</v>
      </c>
      <c r="M4" s="128">
        <v>9536</v>
      </c>
      <c r="N4" s="128">
        <v>6392</v>
      </c>
      <c r="O4" s="128">
        <v>4108</v>
      </c>
    </row>
    <row r="5" spans="1:23" s="31" customFormat="1" ht="27" customHeight="1">
      <c r="A5" s="55" t="s">
        <v>119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23" s="31" customFormat="1" ht="27" customHeight="1">
      <c r="A6" s="55"/>
      <c r="B6" s="31" t="s">
        <v>120</v>
      </c>
      <c r="C6" s="95">
        <v>11</v>
      </c>
      <c r="D6" s="95">
        <v>2.9</v>
      </c>
      <c r="E6" s="95">
        <v>6</v>
      </c>
      <c r="F6" s="95">
        <v>8</v>
      </c>
      <c r="G6" s="95">
        <v>10</v>
      </c>
      <c r="H6" s="95">
        <v>39</v>
      </c>
      <c r="I6" s="95">
        <v>14</v>
      </c>
      <c r="J6" s="95">
        <v>5</v>
      </c>
      <c r="K6" s="95">
        <v>7</v>
      </c>
      <c r="L6" s="95">
        <v>3</v>
      </c>
      <c r="M6" s="95">
        <v>7</v>
      </c>
      <c r="N6" s="95">
        <v>14</v>
      </c>
      <c r="O6" s="95">
        <v>18</v>
      </c>
    </row>
    <row r="7" spans="1:23" s="31" customFormat="1" ht="27" customHeight="1">
      <c r="A7" s="55"/>
      <c r="B7" s="31" t="s">
        <v>121</v>
      </c>
      <c r="C7" s="95">
        <v>733</v>
      </c>
      <c r="D7" s="95">
        <v>795.7</v>
      </c>
      <c r="E7" s="95">
        <v>792</v>
      </c>
      <c r="F7" s="95">
        <v>803</v>
      </c>
      <c r="G7" s="95">
        <v>839</v>
      </c>
      <c r="H7" s="95">
        <v>974</v>
      </c>
      <c r="I7" s="95">
        <v>1015</v>
      </c>
      <c r="J7" s="95">
        <v>1016</v>
      </c>
      <c r="K7" s="95">
        <v>1043</v>
      </c>
      <c r="L7" s="95">
        <v>1041</v>
      </c>
      <c r="M7" s="95">
        <v>1123</v>
      </c>
      <c r="N7" s="95">
        <v>1220</v>
      </c>
      <c r="O7" s="95">
        <v>1280</v>
      </c>
    </row>
    <row r="8" spans="1:23" s="31" customFormat="1" ht="27" customHeight="1">
      <c r="A8" s="55"/>
      <c r="B8" s="31" t="s">
        <v>122</v>
      </c>
      <c r="C8" s="95">
        <v>102</v>
      </c>
      <c r="D8" s="95">
        <v>95.9</v>
      </c>
      <c r="E8" s="95">
        <v>15</v>
      </c>
      <c r="F8" s="95">
        <v>25</v>
      </c>
      <c r="G8" s="95">
        <v>40</v>
      </c>
      <c r="H8" s="95"/>
      <c r="I8" s="95"/>
      <c r="J8" s="95">
        <v>162</v>
      </c>
      <c r="K8" s="95">
        <v>50</v>
      </c>
      <c r="L8" s="95">
        <v>88</v>
      </c>
      <c r="M8" s="95">
        <v>18</v>
      </c>
      <c r="N8" s="95">
        <v>28</v>
      </c>
      <c r="O8" s="95">
        <v>73</v>
      </c>
    </row>
    <row r="9" spans="1:23" s="31" customFormat="1" ht="27" customHeight="1">
      <c r="A9" s="55"/>
      <c r="B9" s="31" t="s">
        <v>123</v>
      </c>
      <c r="C9" s="95"/>
      <c r="D9" s="95"/>
      <c r="E9" s="95"/>
      <c r="F9" s="95">
        <v>-74</v>
      </c>
      <c r="G9" s="95">
        <v>-375</v>
      </c>
      <c r="H9" s="95">
        <v>-25</v>
      </c>
      <c r="I9" s="95">
        <v>5</v>
      </c>
      <c r="J9" s="95">
        <v>24</v>
      </c>
      <c r="K9" s="95"/>
      <c r="L9" s="95"/>
      <c r="M9" s="95"/>
      <c r="N9" s="95"/>
      <c r="O9" s="95"/>
    </row>
    <row r="10" spans="1:23" s="31" customFormat="1" ht="27" customHeight="1">
      <c r="A10" s="55"/>
      <c r="B10" s="31" t="s">
        <v>124</v>
      </c>
      <c r="C10" s="95"/>
      <c r="D10" s="95"/>
      <c r="E10" s="95"/>
      <c r="F10" s="95"/>
      <c r="G10" s="95"/>
      <c r="H10" s="95"/>
      <c r="I10" s="95"/>
      <c r="J10" s="95"/>
      <c r="K10" s="95"/>
      <c r="L10" s="95">
        <v>-326</v>
      </c>
      <c r="M10" s="95"/>
      <c r="N10" s="95"/>
      <c r="O10" s="95"/>
    </row>
    <row r="11" spans="1:23" s="31" customFormat="1" ht="27" customHeight="1">
      <c r="A11" s="55"/>
      <c r="B11" s="31" t="s">
        <v>125</v>
      </c>
      <c r="C11" s="95">
        <v>184</v>
      </c>
      <c r="D11" s="95">
        <v>150</v>
      </c>
      <c r="E11" s="95">
        <v>680</v>
      </c>
      <c r="F11" s="95">
        <v>563</v>
      </c>
      <c r="G11" s="95">
        <v>365</v>
      </c>
      <c r="H11" s="95">
        <v>464</v>
      </c>
      <c r="I11" s="95">
        <v>427</v>
      </c>
      <c r="J11" s="95">
        <v>386</v>
      </c>
      <c r="K11" s="95">
        <v>555</v>
      </c>
      <c r="L11" s="95">
        <v>444</v>
      </c>
      <c r="M11" s="95">
        <v>215</v>
      </c>
      <c r="N11" s="95">
        <v>250</v>
      </c>
      <c r="O11" s="95">
        <v>1368</v>
      </c>
    </row>
    <row r="12" spans="1:23" s="31" customFormat="1" ht="27" customHeight="1">
      <c r="A12" s="55"/>
      <c r="B12" s="31" t="s">
        <v>126</v>
      </c>
      <c r="C12" s="95">
        <v>-205</v>
      </c>
      <c r="D12" s="95">
        <v>-236.4</v>
      </c>
      <c r="E12" s="95">
        <v>-140</v>
      </c>
      <c r="F12" s="95">
        <v>13</v>
      </c>
      <c r="G12" s="95">
        <v>-7</v>
      </c>
      <c r="H12" s="95">
        <v>1504</v>
      </c>
      <c r="I12" s="95">
        <v>-222</v>
      </c>
      <c r="J12" s="95">
        <v>105</v>
      </c>
      <c r="K12" s="95">
        <v>-369</v>
      </c>
      <c r="L12" s="95">
        <v>8</v>
      </c>
      <c r="M12" s="95">
        <v>-959</v>
      </c>
      <c r="N12" s="95">
        <v>-97</v>
      </c>
      <c r="O12" s="95">
        <v>-369</v>
      </c>
    </row>
    <row r="13" spans="1:23" s="31" customFormat="1" ht="27" customHeight="1">
      <c r="A13" s="55"/>
      <c r="B13" s="31" t="s">
        <v>127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W13" s="44"/>
    </row>
    <row r="14" spans="1:23" s="31" customFormat="1" ht="27" customHeight="1">
      <c r="A14" s="55"/>
      <c r="B14" s="31" t="s">
        <v>128</v>
      </c>
      <c r="C14" s="95">
        <v>26</v>
      </c>
      <c r="D14" s="95">
        <v>231.5</v>
      </c>
      <c r="E14" s="95">
        <v>113</v>
      </c>
      <c r="F14" s="95">
        <v>-175</v>
      </c>
      <c r="G14" s="95">
        <v>-244</v>
      </c>
      <c r="H14" s="95">
        <v>-239</v>
      </c>
      <c r="I14" s="95">
        <v>-142</v>
      </c>
      <c r="J14" s="95">
        <v>373</v>
      </c>
      <c r="K14" s="95">
        <v>-105</v>
      </c>
      <c r="L14" s="95">
        <v>-189</v>
      </c>
      <c r="M14" s="95">
        <v>-58</v>
      </c>
      <c r="N14" s="95">
        <v>-13</v>
      </c>
      <c r="O14" s="95">
        <v>-91</v>
      </c>
    </row>
    <row r="15" spans="1:23" s="31" customFormat="1" ht="27" customHeight="1">
      <c r="A15" s="55"/>
      <c r="B15" s="31" t="s">
        <v>129</v>
      </c>
      <c r="C15" s="95">
        <v>-70</v>
      </c>
      <c r="D15" s="95">
        <v>496.2</v>
      </c>
      <c r="E15" s="95">
        <v>-17</v>
      </c>
      <c r="F15" s="95">
        <v>578</v>
      </c>
      <c r="G15" s="95">
        <v>-504</v>
      </c>
      <c r="H15" s="95">
        <v>-917</v>
      </c>
      <c r="I15" s="95">
        <v>-102</v>
      </c>
      <c r="J15" s="95">
        <v>1011</v>
      </c>
      <c r="K15" s="95">
        <v>-1835</v>
      </c>
      <c r="L15" s="95">
        <v>-1924</v>
      </c>
      <c r="M15" s="95">
        <v>474</v>
      </c>
      <c r="N15" s="95">
        <v>1011</v>
      </c>
      <c r="O15" s="95">
        <v>-138</v>
      </c>
    </row>
    <row r="16" spans="1:23" s="31" customFormat="1" ht="27" customHeight="1">
      <c r="A16" s="55"/>
      <c r="B16" s="31" t="s">
        <v>130</v>
      </c>
      <c r="C16" s="95">
        <v>471</v>
      </c>
      <c r="D16" s="95">
        <v>-277</v>
      </c>
      <c r="E16" s="95">
        <v>-254</v>
      </c>
      <c r="F16" s="95">
        <v>-170</v>
      </c>
      <c r="G16" s="95">
        <v>946</v>
      </c>
      <c r="H16" s="95">
        <v>793</v>
      </c>
      <c r="I16" s="95">
        <v>13</v>
      </c>
      <c r="J16" s="95">
        <v>-331</v>
      </c>
      <c r="K16" s="95">
        <v>1589</v>
      </c>
      <c r="L16" s="95">
        <v>1444</v>
      </c>
      <c r="M16" s="95">
        <v>1352</v>
      </c>
      <c r="N16" s="95">
        <v>-1429</v>
      </c>
      <c r="O16" s="95">
        <v>-617</v>
      </c>
    </row>
    <row r="17" spans="1:15" s="31" customFormat="1" ht="27" customHeight="1">
      <c r="A17" s="55"/>
      <c r="B17" s="31" t="s">
        <v>131</v>
      </c>
      <c r="C17" s="95">
        <v>135</v>
      </c>
      <c r="D17" s="95">
        <v>361.3</v>
      </c>
      <c r="E17" s="95">
        <v>-115</v>
      </c>
      <c r="F17" s="95">
        <v>18</v>
      </c>
      <c r="G17" s="95">
        <v>-123</v>
      </c>
      <c r="H17" s="95">
        <v>103</v>
      </c>
      <c r="I17" s="95">
        <v>-355</v>
      </c>
      <c r="J17" s="95">
        <v>-14</v>
      </c>
      <c r="K17" s="95">
        <v>13</v>
      </c>
      <c r="L17" s="95">
        <v>166</v>
      </c>
      <c r="M17" s="95">
        <v>8</v>
      </c>
      <c r="N17" s="95">
        <v>-218</v>
      </c>
      <c r="O17" s="95">
        <v>-112</v>
      </c>
    </row>
    <row r="18" spans="1:15" s="31" customFormat="1" ht="27" customHeight="1">
      <c r="A18" s="55"/>
      <c r="B18" s="31" t="s">
        <v>132</v>
      </c>
      <c r="C18" s="95">
        <v>242</v>
      </c>
      <c r="D18" s="95">
        <v>323</v>
      </c>
      <c r="E18" s="95">
        <v>414</v>
      </c>
      <c r="F18" s="95">
        <v>232</v>
      </c>
      <c r="G18" s="95">
        <v>-39</v>
      </c>
      <c r="H18" s="95">
        <v>-985</v>
      </c>
      <c r="I18" s="95">
        <v>-235</v>
      </c>
      <c r="J18" s="95">
        <v>-544</v>
      </c>
      <c r="K18" s="95">
        <v>30</v>
      </c>
      <c r="L18" s="95">
        <v>-1016</v>
      </c>
      <c r="M18" s="95">
        <v>-164</v>
      </c>
      <c r="N18" s="95">
        <v>-215</v>
      </c>
      <c r="O18" s="95">
        <v>-814</v>
      </c>
    </row>
    <row r="19" spans="1:15" s="31" customFormat="1" ht="27" customHeight="1">
      <c r="A19" s="55"/>
      <c r="B19" s="31" t="s">
        <v>133</v>
      </c>
      <c r="C19" s="95">
        <v>116</v>
      </c>
      <c r="D19" s="95">
        <f>70+162-150</f>
        <v>82</v>
      </c>
      <c r="E19" s="95">
        <v>271</v>
      </c>
      <c r="F19" s="95">
        <v>37</v>
      </c>
      <c r="G19" s="95">
        <f>-143+352-365</f>
        <v>-156</v>
      </c>
      <c r="H19" s="95">
        <f>166+439-464</f>
        <v>141</v>
      </c>
      <c r="I19" s="95">
        <f>54+437-427</f>
        <v>64</v>
      </c>
      <c r="J19" s="95">
        <v>380</v>
      </c>
      <c r="K19" s="95">
        <v>-162</v>
      </c>
      <c r="L19" s="95">
        <v>250</v>
      </c>
      <c r="M19" s="95">
        <v>367</v>
      </c>
      <c r="N19" s="95">
        <v>-38</v>
      </c>
      <c r="O19" s="95">
        <v>394</v>
      </c>
    </row>
    <row r="20" spans="1:15" s="31" customFormat="1" ht="27" customHeight="1">
      <c r="A20" s="96"/>
      <c r="B20" s="28" t="s">
        <v>134</v>
      </c>
      <c r="C20" s="97">
        <f t="shared" ref="C20:K20" si="0">SUM(C4:C19)</f>
        <v>4718</v>
      </c>
      <c r="D20" s="97">
        <f t="shared" si="0"/>
        <v>4564.1000000000004</v>
      </c>
      <c r="E20" s="97">
        <f t="shared" si="0"/>
        <v>3073</v>
      </c>
      <c r="F20" s="97">
        <f>SUM(F4:F19)</f>
        <v>2912</v>
      </c>
      <c r="G20" s="97">
        <f t="shared" si="0"/>
        <v>2434</v>
      </c>
      <c r="H20" s="97">
        <f t="shared" si="0"/>
        <v>3281</v>
      </c>
      <c r="I20" s="97">
        <f t="shared" si="0"/>
        <v>3200</v>
      </c>
      <c r="J20" s="97">
        <f t="shared" si="0"/>
        <v>4760</v>
      </c>
      <c r="K20" s="97">
        <f t="shared" si="0"/>
        <v>5900</v>
      </c>
      <c r="L20" s="97">
        <f>SUM(L4:L19)</f>
        <v>6239</v>
      </c>
      <c r="M20" s="97">
        <f>SUM(M4:M19)</f>
        <v>11919</v>
      </c>
      <c r="N20" s="97">
        <f>SUM(N4:N19)</f>
        <v>6905</v>
      </c>
      <c r="O20" s="97">
        <f>SUM(O4:O19)</f>
        <v>5100</v>
      </c>
    </row>
    <row r="21" spans="1:15" s="31" customFormat="1" ht="27" customHeight="1">
      <c r="A21" s="55" t="s">
        <v>135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</row>
    <row r="22" spans="1:15" s="31" customFormat="1" ht="27" customHeight="1">
      <c r="A22" s="55"/>
      <c r="B22" s="31" t="s">
        <v>136</v>
      </c>
      <c r="C22" s="95">
        <v>-84</v>
      </c>
      <c r="D22" s="95"/>
      <c r="E22" s="95"/>
      <c r="F22" s="95">
        <v>-199</v>
      </c>
      <c r="G22" s="95">
        <v>-284</v>
      </c>
      <c r="H22" s="95">
        <v>-5245</v>
      </c>
      <c r="I22" s="95"/>
      <c r="J22" s="95">
        <v>-66</v>
      </c>
      <c r="K22" s="95">
        <v>-244</v>
      </c>
      <c r="L22" s="95">
        <v>-498</v>
      </c>
      <c r="M22" s="95">
        <v>-82</v>
      </c>
      <c r="N22" s="95">
        <v>0</v>
      </c>
      <c r="O22" s="95">
        <v>-101</v>
      </c>
    </row>
    <row r="23" spans="1:15" s="31" customFormat="1" ht="27" customHeight="1">
      <c r="A23" s="55"/>
      <c r="B23" s="31" t="s">
        <v>137</v>
      </c>
      <c r="C23" s="95">
        <v>-1155</v>
      </c>
      <c r="D23" s="95">
        <v>-1045</v>
      </c>
      <c r="E23" s="95">
        <v>-688</v>
      </c>
      <c r="F23" s="95">
        <v>-642</v>
      </c>
      <c r="G23" s="95">
        <v>-592</v>
      </c>
      <c r="H23" s="95">
        <v>-893</v>
      </c>
      <c r="I23" s="95">
        <v>-1118</v>
      </c>
      <c r="J23" s="95">
        <v>-816</v>
      </c>
      <c r="K23" s="95">
        <v>-845</v>
      </c>
      <c r="L23" s="95">
        <v>-1131</v>
      </c>
      <c r="M23" s="95">
        <v>-1494</v>
      </c>
      <c r="N23" s="95">
        <v>-1636</v>
      </c>
      <c r="O23" s="95">
        <v>-1358</v>
      </c>
    </row>
    <row r="24" spans="1:15" s="31" customFormat="1" ht="27" customHeight="1">
      <c r="A24" s="55"/>
      <c r="B24" s="31" t="s">
        <v>138</v>
      </c>
      <c r="C24" s="95"/>
      <c r="D24" s="95"/>
      <c r="E24" s="95"/>
      <c r="F24" s="95"/>
      <c r="G24" s="95"/>
      <c r="H24" s="95"/>
      <c r="I24" s="95"/>
      <c r="J24" s="95">
        <v>-6</v>
      </c>
      <c r="K24" s="95">
        <v>-7</v>
      </c>
      <c r="L24" s="95">
        <v>5</v>
      </c>
      <c r="M24" s="95">
        <v>-1</v>
      </c>
      <c r="N24" s="95">
        <v>0</v>
      </c>
      <c r="O24" s="95">
        <v>-1</v>
      </c>
    </row>
    <row r="25" spans="1:15" s="31" customFormat="1" ht="27" customHeight="1">
      <c r="A25" s="55"/>
      <c r="B25" s="31" t="s">
        <v>139</v>
      </c>
      <c r="C25" s="95">
        <v>800</v>
      </c>
      <c r="D25" s="95">
        <v>1000</v>
      </c>
      <c r="E25" s="95">
        <v>700</v>
      </c>
      <c r="F25" s="95">
        <v>82</v>
      </c>
      <c r="G25" s="95">
        <v>298</v>
      </c>
      <c r="H25" s="95">
        <v>11</v>
      </c>
      <c r="I25" s="95">
        <v>12</v>
      </c>
      <c r="J25" s="95"/>
      <c r="K25" s="95"/>
      <c r="L25" s="95"/>
      <c r="M25" s="95"/>
      <c r="N25" s="95"/>
      <c r="O25" s="95"/>
    </row>
    <row r="26" spans="1:15" s="31" customFormat="1" ht="27" customHeight="1">
      <c r="A26" s="55"/>
      <c r="B26" s="31" t="s">
        <v>140</v>
      </c>
      <c r="C26" s="95">
        <v>22</v>
      </c>
      <c r="D26" s="95">
        <v>346</v>
      </c>
      <c r="E26" s="95"/>
      <c r="F26" s="95">
        <v>81</v>
      </c>
      <c r="G26" s="95">
        <v>114</v>
      </c>
      <c r="H26" s="95">
        <v>156</v>
      </c>
      <c r="I26" s="95">
        <v>93</v>
      </c>
      <c r="J26" s="95"/>
      <c r="K26" s="95"/>
      <c r="L26" s="95">
        <v>0</v>
      </c>
      <c r="M26" s="95">
        <v>59</v>
      </c>
      <c r="N26" s="95">
        <v>99</v>
      </c>
      <c r="O26" s="95">
        <v>46</v>
      </c>
    </row>
    <row r="27" spans="1:15" s="110" customFormat="1" ht="27" customHeight="1">
      <c r="A27" s="109"/>
      <c r="B27" s="31" t="s">
        <v>141</v>
      </c>
      <c r="C27" s="95">
        <v>-911</v>
      </c>
      <c r="D27" s="95">
        <v>-504</v>
      </c>
      <c r="E27" s="95">
        <v>-60</v>
      </c>
      <c r="F27" s="95">
        <v>-59</v>
      </c>
      <c r="G27" s="95"/>
      <c r="H27" s="95"/>
      <c r="I27" s="95">
        <v>-3</v>
      </c>
      <c r="J27" s="95"/>
      <c r="K27" s="95"/>
      <c r="L27" s="95">
        <v>-76</v>
      </c>
      <c r="M27" s="95">
        <v>-173</v>
      </c>
      <c r="N27" s="95">
        <v>-209</v>
      </c>
      <c r="O27" s="95">
        <v>-125</v>
      </c>
    </row>
    <row r="28" spans="1:15" s="31" customFormat="1" ht="27" customHeight="1">
      <c r="A28" s="55"/>
      <c r="B28" s="150" t="s">
        <v>192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>
        <v>190</v>
      </c>
    </row>
    <row r="29" spans="1:15" s="31" customFormat="1" ht="27" customHeight="1">
      <c r="A29" s="55"/>
      <c r="B29" s="31" t="s">
        <v>191</v>
      </c>
      <c r="C29" s="95">
        <v>-122</v>
      </c>
      <c r="D29" s="95">
        <v>-67</v>
      </c>
      <c r="E29" s="95">
        <v>-27</v>
      </c>
      <c r="F29" s="95">
        <v>-28</v>
      </c>
      <c r="G29" s="95">
        <v>-20</v>
      </c>
      <c r="H29" s="95"/>
      <c r="I29" s="95">
        <v>-8</v>
      </c>
      <c r="J29" s="95"/>
      <c r="K29" s="95"/>
      <c r="L29" s="95">
        <v>7</v>
      </c>
      <c r="M29" s="95">
        <v>-870</v>
      </c>
      <c r="N29" s="95">
        <v>4</v>
      </c>
      <c r="O29" s="95">
        <v>-10</v>
      </c>
    </row>
    <row r="30" spans="1:15" s="31" customFormat="1" ht="27" customHeight="1">
      <c r="A30" s="55"/>
      <c r="B30" s="31" t="s">
        <v>13</v>
      </c>
      <c r="C30" s="95">
        <v>-120</v>
      </c>
      <c r="D30" s="95">
        <v>-99</v>
      </c>
      <c r="E30" s="95">
        <v>7</v>
      </c>
      <c r="F30" s="95">
        <v>-55</v>
      </c>
      <c r="G30" s="95">
        <v>-33</v>
      </c>
      <c r="H30" s="95">
        <v>17</v>
      </c>
      <c r="I30" s="95">
        <v>35</v>
      </c>
      <c r="J30" s="95">
        <v>-103</v>
      </c>
      <c r="K30" s="95">
        <v>62</v>
      </c>
      <c r="L30" s="95">
        <v>-137</v>
      </c>
      <c r="M30" s="95">
        <v>-176</v>
      </c>
      <c r="N30" s="95">
        <v>-125</v>
      </c>
      <c r="O30" s="95">
        <v>-90</v>
      </c>
    </row>
    <row r="31" spans="1:15" s="31" customFormat="1" ht="27" customHeight="1">
      <c r="A31" s="96"/>
      <c r="B31" s="28" t="s">
        <v>142</v>
      </c>
      <c r="C31" s="97">
        <f t="shared" ref="C31:K31" si="1">SUM(C22:C30)</f>
        <v>-1570</v>
      </c>
      <c r="D31" s="97">
        <f t="shared" si="1"/>
        <v>-369</v>
      </c>
      <c r="E31" s="97">
        <f t="shared" si="1"/>
        <v>-68</v>
      </c>
      <c r="F31" s="97">
        <f t="shared" si="1"/>
        <v>-820</v>
      </c>
      <c r="G31" s="97">
        <f t="shared" si="1"/>
        <v>-517</v>
      </c>
      <c r="H31" s="97">
        <f t="shared" si="1"/>
        <v>-5954</v>
      </c>
      <c r="I31" s="97">
        <f t="shared" si="1"/>
        <v>-989</v>
      </c>
      <c r="J31" s="97">
        <f t="shared" si="1"/>
        <v>-991</v>
      </c>
      <c r="K31" s="97">
        <f t="shared" si="1"/>
        <v>-1034</v>
      </c>
      <c r="L31" s="97">
        <f>SUM(L22:L30)</f>
        <v>-1830</v>
      </c>
      <c r="M31" s="97">
        <f>SUM(M22:M30)</f>
        <v>-2737</v>
      </c>
      <c r="N31" s="97">
        <f>SUM(N22:N30)</f>
        <v>-1867</v>
      </c>
      <c r="O31" s="97">
        <f>SUM(O22:O30)</f>
        <v>-1449</v>
      </c>
    </row>
    <row r="32" spans="1:15" s="31" customFormat="1" ht="27" customHeight="1">
      <c r="A32" s="55" t="s">
        <v>143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</row>
    <row r="33" spans="1:15" s="31" customFormat="1" ht="27" customHeight="1">
      <c r="A33" s="55"/>
      <c r="B33" s="31" t="s">
        <v>144</v>
      </c>
      <c r="C33" s="95">
        <v>36</v>
      </c>
      <c r="D33" s="95">
        <v>-66</v>
      </c>
      <c r="E33" s="95">
        <v>212</v>
      </c>
      <c r="F33" s="95">
        <v>-207</v>
      </c>
      <c r="G33" s="95">
        <v>64</v>
      </c>
      <c r="H33" s="95">
        <v>16</v>
      </c>
      <c r="I33" s="95">
        <v>-149</v>
      </c>
      <c r="J33" s="95">
        <v>-177</v>
      </c>
      <c r="K33" s="95">
        <v>65</v>
      </c>
      <c r="L33" s="95">
        <v>136</v>
      </c>
      <c r="M33" s="95">
        <v>-113</v>
      </c>
      <c r="N33" s="95">
        <v>28</v>
      </c>
      <c r="O33" s="95">
        <v>144</v>
      </c>
    </row>
    <row r="34" spans="1:15" s="31" customFormat="1" ht="27" customHeight="1">
      <c r="A34" s="55"/>
      <c r="B34" s="31" t="s">
        <v>145</v>
      </c>
      <c r="C34" s="95">
        <v>-2007</v>
      </c>
      <c r="D34" s="95">
        <v>-368</v>
      </c>
      <c r="E34" s="95">
        <v>929</v>
      </c>
      <c r="F34" s="95">
        <v>-756</v>
      </c>
      <c r="G34" s="95">
        <v>2142</v>
      </c>
      <c r="H34" s="95">
        <v>-748</v>
      </c>
      <c r="I34" s="95">
        <v>-305</v>
      </c>
      <c r="J34" s="95">
        <v>-3207</v>
      </c>
      <c r="K34" s="95">
        <v>-354</v>
      </c>
      <c r="L34" s="95">
        <v>-1633</v>
      </c>
      <c r="M34" s="95">
        <v>2090</v>
      </c>
      <c r="N34" s="95">
        <v>1459</v>
      </c>
      <c r="O34" s="95">
        <v>-1695</v>
      </c>
    </row>
    <row r="35" spans="1:15" s="31" customFormat="1" ht="27" customHeight="1">
      <c r="A35" s="55"/>
      <c r="B35" s="31" t="s">
        <v>146</v>
      </c>
      <c r="C35" s="95">
        <v>283</v>
      </c>
      <c r="D35" s="95">
        <v>61</v>
      </c>
      <c r="E35" s="95">
        <v>6</v>
      </c>
      <c r="F35" s="95">
        <v>173</v>
      </c>
      <c r="G35" s="95">
        <v>1107</v>
      </c>
      <c r="H35" s="95">
        <v>149</v>
      </c>
      <c r="I35" s="95">
        <v>1348</v>
      </c>
      <c r="J35" s="95">
        <v>4586</v>
      </c>
      <c r="K35" s="95">
        <v>11</v>
      </c>
      <c r="L35" s="95">
        <v>138</v>
      </c>
      <c r="M35" s="95">
        <v>342</v>
      </c>
      <c r="N35" s="95">
        <v>159</v>
      </c>
      <c r="O35" s="95">
        <v>2369</v>
      </c>
    </row>
    <row r="36" spans="1:15" s="31" customFormat="1" ht="27" customHeight="1">
      <c r="A36" s="55"/>
      <c r="B36" s="31" t="s">
        <v>147</v>
      </c>
      <c r="C36" s="95">
        <v>-191</v>
      </c>
      <c r="D36" s="95">
        <v>-819</v>
      </c>
      <c r="E36" s="95">
        <v>-214</v>
      </c>
      <c r="F36" s="95">
        <v>-73</v>
      </c>
      <c r="G36" s="95">
        <v>-66</v>
      </c>
      <c r="H36" s="95">
        <v>-163</v>
      </c>
      <c r="I36" s="95">
        <v>-972</v>
      </c>
      <c r="J36" s="95">
        <v>-607</v>
      </c>
      <c r="K36" s="95">
        <v>-94</v>
      </c>
      <c r="L36" s="95">
        <v>-1356</v>
      </c>
      <c r="M36" s="95">
        <v>-901</v>
      </c>
      <c r="N36" s="95">
        <v>-1123</v>
      </c>
      <c r="O36" s="95">
        <v>-923</v>
      </c>
    </row>
    <row r="37" spans="1:15" s="31" customFormat="1" ht="27" customHeight="1">
      <c r="A37" s="55"/>
      <c r="B37" s="31" t="s">
        <v>148</v>
      </c>
      <c r="C37" s="95">
        <v>175</v>
      </c>
      <c r="D37" s="95">
        <v>150</v>
      </c>
      <c r="E37" s="95">
        <v>172</v>
      </c>
      <c r="F37" s="95">
        <v>36</v>
      </c>
      <c r="G37" s="95">
        <v>529</v>
      </c>
      <c r="H37" s="95">
        <v>217</v>
      </c>
      <c r="I37" s="95">
        <v>178</v>
      </c>
      <c r="J37" s="95">
        <v>331</v>
      </c>
      <c r="K37" s="95">
        <v>148</v>
      </c>
      <c r="L37" s="95"/>
      <c r="M37" s="95"/>
      <c r="N37" s="95"/>
      <c r="O37" s="95"/>
    </row>
    <row r="38" spans="1:15" s="31" customFormat="1" ht="27" customHeight="1">
      <c r="A38" s="55"/>
      <c r="B38" s="31" t="s">
        <v>149</v>
      </c>
      <c r="C38" s="95">
        <v>-1531</v>
      </c>
      <c r="D38" s="95">
        <v>-2731</v>
      </c>
      <c r="E38" s="95">
        <v>-2771</v>
      </c>
      <c r="F38" s="95">
        <v>-205</v>
      </c>
      <c r="G38" s="95">
        <v>-6</v>
      </c>
      <c r="H38" s="95">
        <v>-958</v>
      </c>
      <c r="I38" s="95">
        <v>-1253</v>
      </c>
      <c r="J38" s="95">
        <v>-750</v>
      </c>
      <c r="K38" s="95">
        <v>-2538</v>
      </c>
      <c r="L38" s="95">
        <v>-3597</v>
      </c>
      <c r="M38" s="95">
        <v>-7216</v>
      </c>
      <c r="N38" s="95">
        <v>-4007</v>
      </c>
      <c r="O38" s="95">
        <v>-1138</v>
      </c>
    </row>
    <row r="39" spans="1:15" s="31" customFormat="1" ht="27" customHeight="1">
      <c r="A39" s="55"/>
      <c r="B39" s="31" t="s">
        <v>150</v>
      </c>
      <c r="C39" s="95">
        <v>-753</v>
      </c>
      <c r="D39" s="95">
        <v>-786</v>
      </c>
      <c r="E39" s="95">
        <v>-816</v>
      </c>
      <c r="F39" s="95">
        <v>-761</v>
      </c>
      <c r="G39" s="95">
        <v>-764</v>
      </c>
      <c r="H39" s="95">
        <v>-806</v>
      </c>
      <c r="I39" s="95">
        <v>-943</v>
      </c>
      <c r="J39" s="95">
        <v>-956</v>
      </c>
      <c r="K39" s="95">
        <v>-1040</v>
      </c>
      <c r="L39" s="95">
        <v>-1313</v>
      </c>
      <c r="M39" s="95">
        <v>-1427</v>
      </c>
      <c r="N39" s="95">
        <v>-1605</v>
      </c>
      <c r="O39" s="95">
        <v>-1720</v>
      </c>
    </row>
    <row r="40" spans="1:15" s="31" customFormat="1" ht="27" customHeight="1">
      <c r="A40" s="55"/>
      <c r="B40" s="31" t="s">
        <v>13</v>
      </c>
      <c r="C40" s="95">
        <v>-40</v>
      </c>
      <c r="D40" s="95">
        <v>-28</v>
      </c>
      <c r="E40" s="95">
        <v>-45</v>
      </c>
      <c r="F40" s="95">
        <v>-37</v>
      </c>
      <c r="G40" s="95">
        <v>-55</v>
      </c>
      <c r="H40" s="95">
        <v>-60</v>
      </c>
      <c r="I40" s="95">
        <v>-79</v>
      </c>
      <c r="J40" s="95">
        <v>-105</v>
      </c>
      <c r="K40" s="95">
        <v>-61</v>
      </c>
      <c r="L40" s="95">
        <v>6</v>
      </c>
      <c r="M40" s="95">
        <v>-7</v>
      </c>
      <c r="N40" s="95">
        <v>-46</v>
      </c>
      <c r="O40" s="95">
        <v>-53</v>
      </c>
    </row>
    <row r="41" spans="1:15" s="31" customFormat="1" ht="27" customHeight="1">
      <c r="A41" s="96"/>
      <c r="B41" s="28" t="s">
        <v>151</v>
      </c>
      <c r="C41" s="97">
        <f>SUM(C33:C40)</f>
        <v>-4028</v>
      </c>
      <c r="D41" s="97">
        <f t="shared" ref="D41:J41" si="2">SUM(D33:D40)</f>
        <v>-4587</v>
      </c>
      <c r="E41" s="97">
        <f t="shared" si="2"/>
        <v>-2527</v>
      </c>
      <c r="F41" s="97">
        <f t="shared" si="2"/>
        <v>-1830</v>
      </c>
      <c r="G41" s="97">
        <f t="shared" si="2"/>
        <v>2951</v>
      </c>
      <c r="H41" s="97">
        <f t="shared" si="2"/>
        <v>-2353</v>
      </c>
      <c r="I41" s="97">
        <f t="shared" si="2"/>
        <v>-2175</v>
      </c>
      <c r="J41" s="97">
        <f t="shared" si="2"/>
        <v>-885</v>
      </c>
      <c r="K41" s="97">
        <f t="shared" ref="K41" si="3">SUM(K33:K40)</f>
        <v>-3863</v>
      </c>
      <c r="L41" s="97">
        <f t="shared" ref="L41:M41" si="4">SUM(L33:L40)</f>
        <v>-7619</v>
      </c>
      <c r="M41" s="97">
        <f t="shared" si="4"/>
        <v>-7232</v>
      </c>
      <c r="N41" s="97">
        <f t="shared" ref="N41:O41" si="5">SUM(N33:N40)</f>
        <v>-5135</v>
      </c>
      <c r="O41" s="97">
        <f t="shared" si="5"/>
        <v>-3016</v>
      </c>
    </row>
    <row r="42" spans="1:15" s="31" customFormat="1" ht="27" customHeight="1">
      <c r="A42" s="156" t="s">
        <v>152</v>
      </c>
      <c r="B42" s="156"/>
      <c r="C42" s="97">
        <v>-5</v>
      </c>
      <c r="D42" s="97">
        <v>-62</v>
      </c>
      <c r="E42" s="97">
        <v>-147</v>
      </c>
      <c r="F42" s="97">
        <v>-21</v>
      </c>
      <c r="G42" s="97">
        <v>155</v>
      </c>
      <c r="H42" s="97">
        <v>54</v>
      </c>
      <c r="I42" s="97">
        <v>-42</v>
      </c>
      <c r="J42" s="97">
        <v>76</v>
      </c>
      <c r="K42" s="97">
        <v>41</v>
      </c>
      <c r="L42" s="97">
        <v>-209</v>
      </c>
      <c r="M42" s="97">
        <v>24</v>
      </c>
      <c r="N42" s="97">
        <v>-15</v>
      </c>
      <c r="O42" s="97">
        <v>86</v>
      </c>
    </row>
    <row r="43" spans="1:15" s="31" customFormat="1" ht="27" customHeight="1">
      <c r="A43" s="156" t="s">
        <v>153</v>
      </c>
      <c r="B43" s="156"/>
      <c r="C43" s="95">
        <f>C20+C31+C41+C42</f>
        <v>-885</v>
      </c>
      <c r="D43" s="95">
        <f t="shared" ref="D43:K43" si="6">D20+D31+D41+D42</f>
        <v>-453.89999999999964</v>
      </c>
      <c r="E43" s="95">
        <f t="shared" si="6"/>
        <v>331</v>
      </c>
      <c r="F43" s="95">
        <f t="shared" si="6"/>
        <v>241</v>
      </c>
      <c r="G43" s="95">
        <f t="shared" si="6"/>
        <v>5023</v>
      </c>
      <c r="H43" s="95">
        <f t="shared" si="6"/>
        <v>-4972</v>
      </c>
      <c r="I43" s="95">
        <f t="shared" si="6"/>
        <v>-6</v>
      </c>
      <c r="J43" s="95">
        <f t="shared" si="6"/>
        <v>2960</v>
      </c>
      <c r="K43" s="95">
        <f t="shared" si="6"/>
        <v>1044</v>
      </c>
      <c r="L43" s="95">
        <f>+L20+L31+L41+L42</f>
        <v>-3419</v>
      </c>
      <c r="M43" s="95">
        <f>+M20+M31+M41+M42</f>
        <v>1974</v>
      </c>
      <c r="N43" s="95">
        <f>+N20+N31+N41+N42</f>
        <v>-112</v>
      </c>
      <c r="O43" s="95">
        <f>+O20+O31+O41+O42</f>
        <v>721</v>
      </c>
    </row>
    <row r="44" spans="1:15" s="31" customFormat="1" ht="27" customHeight="1">
      <c r="A44" s="156" t="s">
        <v>154</v>
      </c>
      <c r="B44" s="156"/>
      <c r="C44" s="97">
        <v>3907.9</v>
      </c>
      <c r="D44" s="97">
        <v>3023.3</v>
      </c>
      <c r="E44" s="97">
        <v>2569.1999999999998</v>
      </c>
      <c r="F44" s="97">
        <v>2900</v>
      </c>
      <c r="G44" s="97">
        <v>3151</v>
      </c>
      <c r="H44" s="97">
        <v>8174</v>
      </c>
      <c r="I44" s="97">
        <v>3202</v>
      </c>
      <c r="J44" s="97">
        <v>3196</v>
      </c>
      <c r="K44" s="97">
        <v>6156</v>
      </c>
      <c r="L44" s="97">
        <v>7200</v>
      </c>
      <c r="M44" s="97">
        <v>3781</v>
      </c>
      <c r="N44" s="97">
        <v>5755</v>
      </c>
      <c r="O44" s="97">
        <f>N45</f>
        <v>5643</v>
      </c>
    </row>
    <row r="45" spans="1:15" s="31" customFormat="1" ht="27" customHeight="1">
      <c r="A45" s="156" t="s">
        <v>155</v>
      </c>
      <c r="B45" s="156"/>
      <c r="C45" s="98">
        <v>3023.2999999999988</v>
      </c>
      <c r="D45" s="98">
        <v>2569.1999999999998</v>
      </c>
      <c r="E45" s="98">
        <v>2900</v>
      </c>
      <c r="F45" s="98">
        <v>3140.5</v>
      </c>
      <c r="G45" s="98">
        <v>8174</v>
      </c>
      <c r="H45" s="98">
        <v>3202</v>
      </c>
      <c r="I45" s="98">
        <v>3196</v>
      </c>
      <c r="J45" s="98">
        <v>6156</v>
      </c>
      <c r="K45" s="98">
        <v>7200</v>
      </c>
      <c r="L45" s="98">
        <f>+L43+L44</f>
        <v>3781</v>
      </c>
      <c r="M45" s="98">
        <v>5755</v>
      </c>
      <c r="N45" s="98">
        <v>5643</v>
      </c>
      <c r="O45" s="98">
        <f>O43+O44</f>
        <v>6364</v>
      </c>
    </row>
    <row r="46" spans="1:15" ht="27" customHeight="1"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</row>
    <row r="47" spans="1:15" s="63" customFormat="1" ht="27" customHeight="1">
      <c r="A47" s="48" t="s">
        <v>156</v>
      </c>
      <c r="B47" s="62"/>
    </row>
    <row r="48" spans="1:15" s="102" customFormat="1" ht="24" customHeight="1">
      <c r="A48" s="48" t="s">
        <v>157</v>
      </c>
      <c r="B48" s="101"/>
    </row>
    <row r="49" spans="1:15">
      <c r="A49" s="48"/>
      <c r="B49" s="103"/>
    </row>
    <row r="50" spans="1:15">
      <c r="A50" s="99" t="s">
        <v>158</v>
      </c>
    </row>
    <row r="51" spans="1:15">
      <c r="A51" s="105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>
      <c r="A52" s="106"/>
      <c r="B52" s="27"/>
      <c r="C52" s="127"/>
      <c r="D52" s="127"/>
      <c r="E52" s="127"/>
      <c r="F52" s="127"/>
      <c r="G52" s="127"/>
      <c r="H52" s="127"/>
      <c r="I52" s="27"/>
      <c r="J52" s="27"/>
      <c r="K52" s="27"/>
      <c r="L52" s="27"/>
      <c r="M52" s="27"/>
      <c r="N52" s="27"/>
      <c r="O52" s="27"/>
    </row>
    <row r="53" spans="1:15">
      <c r="A53" s="106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>
      <c r="A54" s="106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>
      <c r="A55" s="106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>
      <c r="A56" s="10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>
      <c r="A57" s="106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>
      <c r="A58" s="106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>
      <c r="A59" s="106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>
      <c r="A60" s="106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>
      <c r="A61" s="106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>
      <c r="A62" s="106"/>
      <c r="B62" s="107"/>
    </row>
    <row r="63" spans="1:15">
      <c r="A63" s="106"/>
      <c r="B63" s="107"/>
    </row>
    <row r="64" spans="1:15">
      <c r="A64" s="106"/>
      <c r="B64" s="107"/>
    </row>
    <row r="65" spans="1:2">
      <c r="A65" s="106"/>
      <c r="B65" s="107"/>
    </row>
    <row r="66" spans="1:2">
      <c r="A66" s="106"/>
      <c r="B66" s="107"/>
    </row>
    <row r="67" spans="1:2">
      <c r="A67" s="106"/>
    </row>
    <row r="68" spans="1:2">
      <c r="A68" s="106"/>
    </row>
    <row r="69" spans="1:2">
      <c r="A69" s="106"/>
    </row>
    <row r="70" spans="1:2">
      <c r="A70" s="106"/>
    </row>
    <row r="71" spans="1:2">
      <c r="A71" s="106"/>
    </row>
    <row r="72" spans="1:2">
      <c r="A72" s="106"/>
    </row>
    <row r="73" spans="1:2">
      <c r="A73" s="104"/>
    </row>
  </sheetData>
  <mergeCells count="4">
    <mergeCell ref="A42:B42"/>
    <mergeCell ref="A43:B43"/>
    <mergeCell ref="A44:B44"/>
    <mergeCell ref="A45:B45"/>
  </mergeCells>
  <pageMargins left="0.5" right="0.5" top="0.5" bottom="0.5" header="0.5" footer="0.25"/>
  <pageSetup scale="26" firstPageNumber="4" orientation="landscape" useFirstPageNumber="1" r:id="rId1"/>
  <headerFooter alignWithMargins="0">
    <oddFooter>&amp;R&amp;"Calibri"&amp;11&amp;K000000&amp;"Calibri"&amp;11&amp;K000000&amp;"Calibri"&amp;11&amp;K000000&amp;12&amp;A_x000D_&amp;1#&amp;"Calibri"&amp;10&amp;KFF0000Company Use</oddFooter>
  </headerFooter>
  <customProperties>
    <customPr name="_pios_id" r:id="rId2"/>
    <customPr name="EpmWorksheetKeyString_GUID" r:id="rId3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EE20-C3D0-4E54-8FB9-B32A5CAF9926}">
  <sheetPr>
    <tabColor theme="9" tint="0.79998168889431442"/>
  </sheetPr>
  <dimension ref="A1:Q36"/>
  <sheetViews>
    <sheetView zoomScale="50" zoomScaleNormal="50" zoomScaleSheetLayoutView="40" workbookViewId="0"/>
  </sheetViews>
  <sheetFormatPr defaultColWidth="11.453125" defaultRowHeight="24" customHeight="1"/>
  <cols>
    <col min="1" max="1" width="6" style="52" customWidth="1"/>
    <col min="2" max="2" width="66.453125" style="52" customWidth="1"/>
    <col min="3" max="15" width="22.7265625" style="52" customWidth="1"/>
    <col min="16" max="21" width="14" style="52" customWidth="1"/>
    <col min="22" max="22" width="15.26953125" style="52" bestFit="1" customWidth="1"/>
    <col min="23" max="29" width="14" style="52" customWidth="1"/>
    <col min="30" max="16384" width="11.453125" style="52"/>
  </cols>
  <sheetData>
    <row r="1" spans="1:15" ht="32.25" customHeight="1">
      <c r="A1" s="91" t="s">
        <v>160</v>
      </c>
      <c r="B1" s="81"/>
    </row>
    <row r="2" spans="1:15" s="94" customFormat="1" ht="27" customHeight="1">
      <c r="A2" s="96" t="s">
        <v>161</v>
      </c>
      <c r="B2" s="93"/>
      <c r="C2" s="123">
        <v>2013</v>
      </c>
      <c r="D2" s="123">
        <v>2014</v>
      </c>
      <c r="E2" s="123">
        <v>2015</v>
      </c>
      <c r="F2" s="123">
        <v>2016</v>
      </c>
      <c r="G2" s="123">
        <v>2017</v>
      </c>
      <c r="H2" s="123">
        <v>2018</v>
      </c>
      <c r="I2" s="123">
        <v>2019</v>
      </c>
      <c r="J2" s="123">
        <v>2020</v>
      </c>
      <c r="K2" s="123">
        <v>2021</v>
      </c>
      <c r="L2" s="123">
        <v>2022</v>
      </c>
      <c r="M2" s="123">
        <v>2023</v>
      </c>
      <c r="N2" s="123">
        <v>2024</v>
      </c>
      <c r="O2" s="123">
        <v>2025</v>
      </c>
    </row>
    <row r="3" spans="1:15" s="31" customFormat="1" ht="27" customHeight="1">
      <c r="A3" s="55"/>
      <c r="B3" s="55" t="s">
        <v>162</v>
      </c>
      <c r="C3" s="44">
        <v>627</v>
      </c>
      <c r="D3" s="44">
        <v>681</v>
      </c>
      <c r="E3" s="44">
        <v>659</v>
      </c>
      <c r="F3" s="44">
        <v>667</v>
      </c>
      <c r="G3" s="44">
        <v>695</v>
      </c>
      <c r="H3" s="44">
        <v>723</v>
      </c>
      <c r="I3" s="44">
        <v>723</v>
      </c>
      <c r="J3" s="44">
        <v>727</v>
      </c>
      <c r="K3" s="44"/>
      <c r="L3" s="44"/>
      <c r="M3" s="44"/>
      <c r="N3" s="44"/>
      <c r="O3" s="44"/>
    </row>
    <row r="4" spans="1:15" s="31" customFormat="1" ht="27" customHeight="1">
      <c r="A4" s="55"/>
      <c r="B4" s="55" t="s">
        <v>163</v>
      </c>
      <c r="C4" s="44"/>
      <c r="D4" s="44"/>
      <c r="E4" s="44"/>
      <c r="F4" s="44"/>
      <c r="G4" s="44"/>
      <c r="H4" s="44"/>
      <c r="I4" s="111">
        <v>475</v>
      </c>
      <c r="J4" s="111">
        <v>480</v>
      </c>
      <c r="K4" s="44">
        <v>495</v>
      </c>
      <c r="L4" s="44">
        <v>523</v>
      </c>
      <c r="M4" s="44">
        <v>581</v>
      </c>
      <c r="N4" s="44">
        <v>643</v>
      </c>
      <c r="O4" s="44">
        <v>654</v>
      </c>
    </row>
    <row r="5" spans="1:15" s="31" customFormat="1" ht="27" customHeight="1">
      <c r="A5" s="55"/>
      <c r="B5" s="55" t="s">
        <v>164</v>
      </c>
      <c r="C5" s="44"/>
      <c r="D5" s="44"/>
      <c r="E5" s="44"/>
      <c r="F5" s="44"/>
      <c r="G5" s="44"/>
      <c r="H5" s="44"/>
      <c r="I5" s="111">
        <v>248</v>
      </c>
      <c r="J5" s="111">
        <v>247</v>
      </c>
      <c r="K5" s="112">
        <v>245</v>
      </c>
      <c r="L5" s="112">
        <v>236</v>
      </c>
      <c r="M5" s="112">
        <v>241</v>
      </c>
      <c r="N5" s="112">
        <v>246</v>
      </c>
      <c r="O5" s="112">
        <v>261</v>
      </c>
    </row>
    <row r="6" spans="1:15" s="31" customFormat="1" ht="27" customHeight="1">
      <c r="A6" s="55"/>
      <c r="B6" s="55" t="s">
        <v>165</v>
      </c>
      <c r="C6" s="112">
        <v>106</v>
      </c>
      <c r="D6" s="112">
        <v>115</v>
      </c>
      <c r="E6" s="112">
        <v>133</v>
      </c>
      <c r="F6" s="112">
        <v>136</v>
      </c>
      <c r="G6" s="112">
        <v>145</v>
      </c>
      <c r="H6" s="112">
        <v>251</v>
      </c>
      <c r="I6" s="112">
        <v>292</v>
      </c>
      <c r="J6" s="112">
        <v>289</v>
      </c>
      <c r="K6" s="112">
        <v>303</v>
      </c>
      <c r="L6" s="112">
        <v>282</v>
      </c>
      <c r="M6" s="112">
        <v>301</v>
      </c>
      <c r="N6" s="112">
        <v>331</v>
      </c>
      <c r="O6" s="112">
        <v>365</v>
      </c>
    </row>
    <row r="7" spans="1:15" s="31" customFormat="1" ht="27" customHeight="1">
      <c r="A7" s="55"/>
      <c r="B7" s="55" t="s">
        <v>166</v>
      </c>
      <c r="C7" s="112">
        <v>407</v>
      </c>
      <c r="D7" s="112">
        <v>511</v>
      </c>
      <c r="E7" s="112">
        <v>590</v>
      </c>
      <c r="F7" s="112">
        <v>757</v>
      </c>
      <c r="G7" s="112">
        <v>876</v>
      </c>
      <c r="H7" s="112">
        <v>953</v>
      </c>
      <c r="I7" s="112">
        <v>1004</v>
      </c>
      <c r="J7" s="112">
        <f>1227-125</f>
        <v>1102</v>
      </c>
      <c r="K7" s="112">
        <f>1140-133</f>
        <v>1007</v>
      </c>
      <c r="L7" s="112">
        <f>1050-196</f>
        <v>854</v>
      </c>
      <c r="M7" s="112">
        <f>1016-135</f>
        <v>881</v>
      </c>
      <c r="N7" s="112">
        <f>1040-142</f>
        <v>898</v>
      </c>
      <c r="O7" s="112">
        <f>1082-133</f>
        <v>949</v>
      </c>
    </row>
    <row r="8" spans="1:15" s="31" customFormat="1" ht="27" customHeight="1">
      <c r="A8" s="96"/>
      <c r="B8" s="96" t="s">
        <v>167</v>
      </c>
      <c r="C8" s="47">
        <f t="shared" ref="C8:H8" si="0">SUM(C3:C7)</f>
        <v>1140</v>
      </c>
      <c r="D8" s="47">
        <f t="shared" si="0"/>
        <v>1307</v>
      </c>
      <c r="E8" s="47">
        <f t="shared" si="0"/>
        <v>1382</v>
      </c>
      <c r="F8" s="47">
        <f t="shared" si="0"/>
        <v>1560</v>
      </c>
      <c r="G8" s="47">
        <f t="shared" si="0"/>
        <v>1716</v>
      </c>
      <c r="H8" s="47">
        <f t="shared" si="0"/>
        <v>1927</v>
      </c>
      <c r="I8" s="47">
        <f>SUM(I3,I6,I7)</f>
        <v>2019</v>
      </c>
      <c r="J8" s="47">
        <f>SUM(J3,J6,J7)</f>
        <v>2118</v>
      </c>
      <c r="K8" s="47">
        <f>SUM(K3:K7)</f>
        <v>2050</v>
      </c>
      <c r="L8" s="47">
        <f>SUM(L3:L7)</f>
        <v>1895</v>
      </c>
      <c r="M8" s="47">
        <f>SUM(M3:M7)</f>
        <v>2004</v>
      </c>
      <c r="N8" s="47">
        <f>SUM(N3:N7)</f>
        <v>2118</v>
      </c>
      <c r="O8" s="47">
        <f>SUM(O3:O7)</f>
        <v>2229</v>
      </c>
    </row>
    <row r="9" spans="1:15" s="31" customFormat="1" ht="27" customHeight="1">
      <c r="A9" s="55"/>
      <c r="B9" s="55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1:15" s="63" customFormat="1" ht="27" customHeight="1">
      <c r="A10" s="113" t="s">
        <v>168</v>
      </c>
      <c r="B10" s="48"/>
    </row>
    <row r="11" spans="1:15" s="63" customFormat="1" ht="27" customHeight="1">
      <c r="A11" s="113" t="s">
        <v>169</v>
      </c>
      <c r="B11" s="48"/>
    </row>
    <row r="12" spans="1:15" s="63" customFormat="1" ht="27" customHeight="1">
      <c r="A12" s="151" t="s">
        <v>170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</row>
    <row r="13" spans="1:15" s="63" customFormat="1" ht="27" customHeight="1">
      <c r="A13" s="48" t="s">
        <v>171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</row>
    <row r="14" spans="1:15" s="63" customFormat="1" ht="27" customHeight="1">
      <c r="A14" s="152" t="s">
        <v>172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</row>
    <row r="15" spans="1:15" s="102" customFormat="1" ht="27" customHeight="1">
      <c r="A15" s="51"/>
      <c r="B15" s="51"/>
    </row>
    <row r="16" spans="1:15" s="31" customFormat="1" ht="27" customHeight="1"/>
    <row r="17" spans="1:17" s="31" customFormat="1" ht="32.25" customHeight="1">
      <c r="A17" s="41" t="s">
        <v>173</v>
      </c>
      <c r="B17" s="41"/>
      <c r="C17" s="29"/>
      <c r="D17" s="29"/>
      <c r="E17" s="29"/>
      <c r="F17" s="29"/>
      <c r="G17" s="29"/>
      <c r="H17" s="29"/>
      <c r="I17" s="29"/>
      <c r="J17" s="43"/>
      <c r="K17" s="43"/>
      <c r="L17" s="43"/>
      <c r="M17" s="43"/>
      <c r="N17" s="43"/>
      <c r="O17" s="43"/>
    </row>
    <row r="18" spans="1:17" s="50" customFormat="1" ht="27" customHeight="1">
      <c r="A18" s="29" t="s">
        <v>161</v>
      </c>
      <c r="B18" s="29"/>
      <c r="C18" s="129">
        <v>2013</v>
      </c>
      <c r="D18" s="129">
        <v>2014</v>
      </c>
      <c r="E18" s="129">
        <v>2015</v>
      </c>
      <c r="F18" s="129">
        <v>2016</v>
      </c>
      <c r="G18" s="129">
        <v>2017</v>
      </c>
      <c r="H18" s="129">
        <v>2018</v>
      </c>
      <c r="I18" s="129">
        <v>2019</v>
      </c>
      <c r="J18" s="129">
        <v>2020</v>
      </c>
      <c r="K18" s="129">
        <v>2021</v>
      </c>
      <c r="L18" s="129">
        <v>2022</v>
      </c>
      <c r="M18" s="123">
        <v>2023</v>
      </c>
      <c r="N18" s="123">
        <v>2024</v>
      </c>
      <c r="O18" s="123">
        <v>2025</v>
      </c>
    </row>
    <row r="19" spans="1:17" s="31" customFormat="1" ht="27" customHeight="1">
      <c r="B19" s="31" t="s">
        <v>162</v>
      </c>
      <c r="C19" s="114">
        <v>981</v>
      </c>
      <c r="D19" s="114">
        <v>868</v>
      </c>
      <c r="E19" s="114">
        <v>522</v>
      </c>
      <c r="F19" s="114">
        <v>556</v>
      </c>
      <c r="G19" s="114">
        <v>485</v>
      </c>
      <c r="H19" s="114">
        <v>675</v>
      </c>
      <c r="I19" s="114">
        <v>859</v>
      </c>
      <c r="J19" s="114">
        <v>654</v>
      </c>
      <c r="K19" s="114"/>
      <c r="L19" s="114"/>
      <c r="M19" s="114"/>
      <c r="N19" s="114"/>
      <c r="O19" s="114"/>
    </row>
    <row r="20" spans="1:17" s="31" customFormat="1" ht="27" customHeight="1">
      <c r="A20" s="55"/>
      <c r="B20" s="55" t="s">
        <v>30</v>
      </c>
      <c r="C20" s="44"/>
      <c r="D20" s="44"/>
      <c r="E20" s="44"/>
      <c r="F20" s="44"/>
      <c r="G20" s="44"/>
      <c r="H20" s="44"/>
      <c r="I20" s="115">
        <v>595</v>
      </c>
      <c r="J20" s="115">
        <v>431</v>
      </c>
      <c r="K20" s="114">
        <v>458</v>
      </c>
      <c r="L20" s="114">
        <v>649</v>
      </c>
      <c r="M20" s="114">
        <v>896</v>
      </c>
      <c r="N20" s="114">
        <v>1025</v>
      </c>
      <c r="O20" s="114">
        <v>716</v>
      </c>
    </row>
    <row r="21" spans="1:17" s="31" customFormat="1" ht="27" customHeight="1">
      <c r="A21" s="55"/>
      <c r="B21" s="55" t="s">
        <v>31</v>
      </c>
      <c r="C21" s="44"/>
      <c r="D21" s="44"/>
      <c r="E21" s="44"/>
      <c r="F21" s="44"/>
      <c r="G21" s="44"/>
      <c r="H21" s="44"/>
      <c r="I21" s="115">
        <v>264</v>
      </c>
      <c r="J21" s="115">
        <v>223</v>
      </c>
      <c r="K21" s="31">
        <v>253</v>
      </c>
      <c r="L21" s="31">
        <v>329</v>
      </c>
      <c r="M21" s="31">
        <v>386</v>
      </c>
      <c r="N21" s="31">
        <v>327</v>
      </c>
      <c r="O21" s="31">
        <v>301</v>
      </c>
    </row>
    <row r="22" spans="1:17" s="31" customFormat="1" ht="27" customHeight="1">
      <c r="B22" s="31" t="s">
        <v>165</v>
      </c>
      <c r="C22" s="31">
        <v>174</v>
      </c>
      <c r="D22" s="31">
        <v>145</v>
      </c>
      <c r="E22" s="31">
        <v>138</v>
      </c>
      <c r="F22" s="31">
        <v>115</v>
      </c>
      <c r="G22" s="31">
        <v>114</v>
      </c>
      <c r="H22" s="31">
        <v>308</v>
      </c>
      <c r="I22" s="31">
        <v>245</v>
      </c>
      <c r="J22" s="31">
        <v>157</v>
      </c>
      <c r="K22" s="31">
        <v>183</v>
      </c>
      <c r="L22" s="31">
        <v>217</v>
      </c>
      <c r="M22" s="31">
        <v>311</v>
      </c>
      <c r="N22" s="31">
        <v>352</v>
      </c>
      <c r="O22" s="31">
        <v>345</v>
      </c>
    </row>
    <row r="23" spans="1:17" s="31" customFormat="1" ht="27" customHeight="1">
      <c r="B23" s="31" t="s">
        <v>166</v>
      </c>
      <c r="C23" s="31">
        <v>3</v>
      </c>
      <c r="D23" s="31">
        <v>3</v>
      </c>
      <c r="E23" s="31">
        <v>6</v>
      </c>
      <c r="F23" s="31">
        <v>3</v>
      </c>
      <c r="G23" s="31">
        <v>3</v>
      </c>
      <c r="H23" s="31">
        <v>2</v>
      </c>
      <c r="I23" s="31">
        <v>3</v>
      </c>
      <c r="J23" s="31">
        <v>4</v>
      </c>
      <c r="K23" s="31">
        <v>3</v>
      </c>
      <c r="L23" s="31">
        <v>2</v>
      </c>
      <c r="M23" s="31">
        <v>4</v>
      </c>
      <c r="N23" s="31">
        <v>3</v>
      </c>
      <c r="O23" s="31">
        <v>2</v>
      </c>
    </row>
    <row r="24" spans="1:17" s="31" customFormat="1" ht="27" customHeight="1">
      <c r="A24" s="28"/>
      <c r="B24" s="28" t="s">
        <v>4</v>
      </c>
      <c r="C24" s="116">
        <f t="shared" ref="C24:H24" si="1">SUM(C19:C23)</f>
        <v>1158</v>
      </c>
      <c r="D24" s="116">
        <f t="shared" si="1"/>
        <v>1016</v>
      </c>
      <c r="E24" s="116">
        <f t="shared" si="1"/>
        <v>666</v>
      </c>
      <c r="F24" s="116">
        <f t="shared" si="1"/>
        <v>674</v>
      </c>
      <c r="G24" s="116">
        <f t="shared" si="1"/>
        <v>602</v>
      </c>
      <c r="H24" s="116">
        <f t="shared" si="1"/>
        <v>985</v>
      </c>
      <c r="I24" s="116">
        <f>SUM(I19,I22,I23)</f>
        <v>1107</v>
      </c>
      <c r="J24" s="116">
        <f>SUM(J19,J22,J23)</f>
        <v>815</v>
      </c>
      <c r="K24" s="116">
        <f>SUM(K19:K23)</f>
        <v>897</v>
      </c>
      <c r="L24" s="116">
        <f>SUM(L19:L23)</f>
        <v>1197</v>
      </c>
      <c r="M24" s="116">
        <f>SUM(M19:M23)</f>
        <v>1597</v>
      </c>
      <c r="N24" s="116">
        <f>SUM(N19:N23)</f>
        <v>1707</v>
      </c>
      <c r="O24" s="116">
        <f>SUM(O19:O23)</f>
        <v>1364</v>
      </c>
    </row>
    <row r="25" spans="1:17" s="31" customFormat="1" ht="27" customHeight="1"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</row>
    <row r="26" spans="1:17" s="31" customFormat="1" ht="27" customHeight="1">
      <c r="A26" s="151" t="s">
        <v>174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</row>
    <row r="27" spans="1:17" s="31" customFormat="1" ht="27" customHeight="1">
      <c r="A27" s="48" t="s">
        <v>171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</row>
    <row r="28" spans="1:17" s="63" customFormat="1" ht="27" customHeight="1">
      <c r="A28" s="152" t="s">
        <v>172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</row>
    <row r="29" spans="1:17" s="63" customFormat="1" ht="27" customHeight="1">
      <c r="A29" s="48"/>
      <c r="B29" s="48"/>
    </row>
    <row r="30" spans="1:17" s="31" customFormat="1" ht="32.25" customHeight="1">
      <c r="A30" s="41" t="s">
        <v>175</v>
      </c>
      <c r="B30" s="41"/>
      <c r="C30" s="29"/>
      <c r="D30" s="29"/>
      <c r="E30" s="29"/>
      <c r="F30" s="29"/>
      <c r="G30" s="29"/>
      <c r="H30" s="29"/>
      <c r="I30" s="29"/>
      <c r="J30" s="43"/>
      <c r="K30" s="43"/>
      <c r="L30" s="43"/>
      <c r="M30" s="43"/>
      <c r="N30" s="43"/>
      <c r="O30" s="43"/>
    </row>
    <row r="31" spans="1:17" s="31" customFormat="1" ht="27" customHeight="1">
      <c r="A31" s="117"/>
      <c r="B31" s="117"/>
      <c r="C31" s="123">
        <v>2013</v>
      </c>
      <c r="D31" s="123">
        <v>2014</v>
      </c>
      <c r="E31" s="123">
        <v>2015</v>
      </c>
      <c r="F31" s="123">
        <v>2016</v>
      </c>
      <c r="G31" s="123">
        <v>2017</v>
      </c>
      <c r="H31" s="123">
        <v>2018</v>
      </c>
      <c r="I31" s="123">
        <v>2019</v>
      </c>
      <c r="J31" s="123">
        <v>2020</v>
      </c>
      <c r="K31" s="123">
        <v>2021</v>
      </c>
      <c r="L31" s="123">
        <v>2022</v>
      </c>
      <c r="M31" s="123">
        <v>2023</v>
      </c>
      <c r="N31" s="123">
        <v>2024</v>
      </c>
      <c r="O31" s="123">
        <v>2025</v>
      </c>
    </row>
    <row r="32" spans="1:17" s="31" customFormat="1" ht="27" customHeight="1">
      <c r="A32" s="31" t="s">
        <v>176</v>
      </c>
      <c r="C32" s="120">
        <v>33900</v>
      </c>
      <c r="D32" s="120">
        <v>29000</v>
      </c>
      <c r="E32" s="56">
        <v>28500</v>
      </c>
      <c r="F32" s="56">
        <v>27900</v>
      </c>
      <c r="G32" s="120">
        <v>29000</v>
      </c>
      <c r="H32" s="56">
        <v>30800</v>
      </c>
      <c r="I32" s="120">
        <v>30000</v>
      </c>
      <c r="J32" s="56">
        <v>27500</v>
      </c>
      <c r="K32" s="56">
        <v>29500</v>
      </c>
      <c r="L32" s="120">
        <v>32000</v>
      </c>
      <c r="M32" s="120">
        <f>32600+1200</f>
        <v>33800</v>
      </c>
      <c r="N32" s="120">
        <v>30100</v>
      </c>
      <c r="O32" s="120">
        <v>27600</v>
      </c>
      <c r="P32" s="56"/>
      <c r="Q32" s="140"/>
    </row>
    <row r="33" spans="1:17" s="31" customFormat="1" ht="27" customHeight="1">
      <c r="A33" s="31" t="s">
        <v>177</v>
      </c>
      <c r="C33" s="61">
        <v>33100</v>
      </c>
      <c r="D33" s="61">
        <v>30600</v>
      </c>
      <c r="E33" s="61">
        <v>28700</v>
      </c>
      <c r="F33" s="61">
        <v>28900</v>
      </c>
      <c r="G33" s="61">
        <v>31500</v>
      </c>
      <c r="H33" s="61">
        <v>43600</v>
      </c>
      <c r="I33" s="61">
        <v>43500</v>
      </c>
      <c r="J33" s="61">
        <v>42100</v>
      </c>
      <c r="K33" s="61">
        <v>46100</v>
      </c>
      <c r="L33" s="61">
        <v>50200</v>
      </c>
      <c r="M33" s="61">
        <f>47900+1300</f>
        <v>49200</v>
      </c>
      <c r="N33" s="61">
        <f>N34-N32</f>
        <v>45700</v>
      </c>
      <c r="O33" s="61">
        <v>45500</v>
      </c>
      <c r="P33" s="56"/>
      <c r="Q33" s="140"/>
    </row>
    <row r="34" spans="1:17" s="31" customFormat="1" ht="27" customHeight="1">
      <c r="A34" s="28"/>
      <c r="B34" s="28" t="s">
        <v>178</v>
      </c>
      <c r="C34" s="118">
        <f t="shared" ref="C34:K34" si="2">C32+C33</f>
        <v>67000</v>
      </c>
      <c r="D34" s="118">
        <f t="shared" si="2"/>
        <v>59600</v>
      </c>
      <c r="E34" s="118">
        <f t="shared" si="2"/>
        <v>57200</v>
      </c>
      <c r="F34" s="118">
        <f t="shared" si="2"/>
        <v>56800</v>
      </c>
      <c r="G34" s="118">
        <f t="shared" si="2"/>
        <v>60500</v>
      </c>
      <c r="H34" s="118">
        <f t="shared" si="2"/>
        <v>74400</v>
      </c>
      <c r="I34" s="118">
        <f t="shared" si="2"/>
        <v>73500</v>
      </c>
      <c r="J34" s="118">
        <f t="shared" si="2"/>
        <v>69600</v>
      </c>
      <c r="K34" s="118">
        <f t="shared" si="2"/>
        <v>75600</v>
      </c>
      <c r="L34" s="118">
        <f>L32+L33</f>
        <v>82200</v>
      </c>
      <c r="M34" s="118">
        <f>M32+M33</f>
        <v>83000</v>
      </c>
      <c r="N34" s="118">
        <v>75800</v>
      </c>
      <c r="O34" s="118">
        <v>73100</v>
      </c>
      <c r="P34" s="56"/>
      <c r="Q34" s="140"/>
    </row>
    <row r="36" spans="1:17" ht="24" customHeight="1">
      <c r="A36" s="119"/>
      <c r="B36" s="119"/>
    </row>
  </sheetData>
  <mergeCells count="4">
    <mergeCell ref="A12:L12"/>
    <mergeCell ref="A14:L14"/>
    <mergeCell ref="A26:L26"/>
    <mergeCell ref="A28:L28"/>
  </mergeCells>
  <pageMargins left="0.5" right="0.5" top="0.5" bottom="0.5" header="0.5" footer="0.25"/>
  <pageSetup scale="34" firstPageNumber="4" orientation="landscape" useFirstPageNumber="1" r:id="rId1"/>
  <headerFooter alignWithMargins="0">
    <oddFooter>&amp;R&amp;"Calibri"&amp;11&amp;K000000&amp;"Calibri"&amp;11&amp;K000000&amp;A_x000D_&amp;1#&amp;"Calibri"&amp;10&amp;KFF0000Company Use</oddFooter>
  </headerFooter>
  <customProperties>
    <customPr name="_pios_id" r:id="rId2"/>
    <customPr name="EpmWorksheetKeyString_GUID" r:id="rId3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5A63FEC4C30E4C99BD78A174D8C559" ma:contentTypeVersion="18" ma:contentTypeDescription="Create a new document." ma:contentTypeScope="" ma:versionID="11ab94e2b16a5e1b8a38679bab19ef09">
  <xsd:schema xmlns:xsd="http://www.w3.org/2001/XMLSchema" xmlns:xs="http://www.w3.org/2001/XMLSchema" xmlns:p="http://schemas.microsoft.com/office/2006/metadata/properties" xmlns:ns2="f01e8ebb-b3ce-443c-a97e-1cd60940ca8f" xmlns:ns3="9914126a-2c1c-47cb-8ac2-801411be0378" targetNamespace="http://schemas.microsoft.com/office/2006/metadata/properties" ma:root="true" ma:fieldsID="ee7a71403fe2097e49bcf02515b1adaf" ns2:_="" ns3:_="">
    <xsd:import namespace="f01e8ebb-b3ce-443c-a97e-1cd60940ca8f"/>
    <xsd:import namespace="9914126a-2c1c-47cb-8ac2-801411be03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e8ebb-b3ce-443c-a97e-1cd60940ca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7bfce6e-1b76-4ad8-a418-d83338899b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4126a-2c1c-47cb-8ac2-801411be03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8889ba7-e46e-4e55-b39d-700e044f00d2}" ma:internalName="TaxCatchAll" ma:showField="CatchAllData" ma:web="9914126a-2c1c-47cb-8ac2-801411be03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1e8ebb-b3ce-443c-a97e-1cd60940ca8f">
      <Terms xmlns="http://schemas.microsoft.com/office/infopath/2007/PartnerControls"/>
    </lcf76f155ced4ddcb4097134ff3c332f>
    <TaxCatchAll xmlns="9914126a-2c1c-47cb-8ac2-801411be0378" xsi:nil="true"/>
  </documentManagement>
</p:properties>
</file>

<file path=customXml/itemProps1.xml><?xml version="1.0" encoding="utf-8"?>
<ds:datastoreItem xmlns:ds="http://schemas.openxmlformats.org/officeDocument/2006/customXml" ds:itemID="{6F123EFD-06E2-468D-9791-6E7449896D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1e8ebb-b3ce-443c-a97e-1cd60940ca8f"/>
    <ds:schemaRef ds:uri="9914126a-2c1c-47cb-8ac2-801411be03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3A96E9-E7CE-4FB5-8336-3461B01811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A3EDAD-3219-45D0-BACE-A1184C0C2186}">
  <ds:schemaRefs>
    <ds:schemaRef ds:uri="http://schemas.microsoft.com/office/2006/metadata/properties"/>
    <ds:schemaRef ds:uri="http://schemas.microsoft.com/office/infopath/2007/PartnerControls"/>
    <ds:schemaRef ds:uri="f01e8ebb-b3ce-443c-a97e-1cd60940ca8f"/>
    <ds:schemaRef ds:uri="9914126a-2c1c-47cb-8ac2-801411be0378"/>
  </ds:schemaRefs>
</ds:datastoreItem>
</file>

<file path=docMetadata/LabelInfo.xml><?xml version="1.0" encoding="utf-8"?>
<clbl:labelList xmlns:clbl="http://schemas.microsoft.com/office/2020/mipLabelMetadata">
  <clbl:label id="{6388fff8-b053-4fb1-90cd-f0bc93ae9791}" enabled="1" method="Privileged" siteId="{39b03722-b836-496a-85ec-850f0957ca6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Income Statement -1</vt:lpstr>
      <vt:lpstr>Inc Stmt % To Net Sales-2</vt:lpstr>
      <vt:lpstr>Quarterly Sales-3</vt:lpstr>
      <vt:lpstr>Exports &amp; Operating Profit-4</vt:lpstr>
      <vt:lpstr>Balance Sheet-5</vt:lpstr>
      <vt:lpstr>Cash Flow-6</vt:lpstr>
      <vt:lpstr>Depr &amp; Capital &amp; Empl-7</vt:lpstr>
      <vt:lpstr>'Balance Sheet-5'!Print_Area</vt:lpstr>
      <vt:lpstr>'Cash Flow-6'!Print_Area</vt:lpstr>
      <vt:lpstr>'Depr &amp; Capital &amp; Empl-7'!Print_Area</vt:lpstr>
      <vt:lpstr>'Exports &amp; Operating Profit-4'!Print_Area</vt:lpstr>
      <vt:lpstr>'Inc Stmt % To Net Sales-2'!Print_Area</vt:lpstr>
      <vt:lpstr>'Quarterly Sales-3'!Print_Area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Rupe Lauren A</dc:creator>
  <cp:lastModifiedBy>Eric Norberg</cp:lastModifiedBy>
  <cp:lastPrinted>2026-01-20T19:34:21Z</cp:lastPrinted>
  <dcterms:created xsi:type="dcterms:W3CDTF">2023-01-20T16:50:00Z</dcterms:created>
  <dcterms:modified xsi:type="dcterms:W3CDTF">2026-01-20T19:36:17Z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88fff8-b053-4fb1-90cd-f0bc93ae9791_Enabled">
    <vt:lpwstr>true</vt:lpwstr>
  </property>
  <property fmtid="{D5CDD505-2E9C-101B-9397-08002B2CF9AE}" pid="3" name="MSIP_Label_6388fff8-b053-4fb1-90cd-f0bc93ae9791_SetDate">
    <vt:lpwstr>2023-02-01T16:47:54Z</vt:lpwstr>
  </property>
  <property fmtid="{D5CDD505-2E9C-101B-9397-08002B2CF9AE}" pid="4" name="MSIP_Label_6388fff8-b053-4fb1-90cd-f0bc93ae9791_Method">
    <vt:lpwstr>Privileged</vt:lpwstr>
  </property>
  <property fmtid="{D5CDD505-2E9C-101B-9397-08002B2CF9AE}" pid="5" name="MSIP_Label_6388fff8-b053-4fb1-90cd-f0bc93ae9791_Name">
    <vt:lpwstr>Company Use</vt:lpwstr>
  </property>
  <property fmtid="{D5CDD505-2E9C-101B-9397-08002B2CF9AE}" pid="6" name="MSIP_Label_6388fff8-b053-4fb1-90cd-f0bc93ae9791_SiteId">
    <vt:lpwstr>39b03722-b836-496a-85ec-850f0957ca6b</vt:lpwstr>
  </property>
  <property fmtid="{D5CDD505-2E9C-101B-9397-08002B2CF9AE}" pid="7" name="MSIP_Label_6388fff8-b053-4fb1-90cd-f0bc93ae9791_ActionId">
    <vt:lpwstr>28f8d7da-a03f-4da6-8983-5cb827db6c42</vt:lpwstr>
  </property>
  <property fmtid="{D5CDD505-2E9C-101B-9397-08002B2CF9AE}" pid="8" name="MSIP_Label_6388fff8-b053-4fb1-90cd-f0bc93ae9791_ContentBits">
    <vt:lpwstr>2</vt:lpwstr>
  </property>
  <property fmtid="{D5CDD505-2E9C-101B-9397-08002B2CF9AE}" pid="9" name="ContentTypeId">
    <vt:lpwstr>0x010100415A63FEC4C30E4C99BD78A174D8C559</vt:lpwstr>
  </property>
  <property fmtid="{D5CDD505-2E9C-101B-9397-08002B2CF9AE}" pid="10" name="MediaServiceImageTags">
    <vt:lpwstr/>
  </property>
  <property fmtid="{D5CDD505-2E9C-101B-9397-08002B2CF9AE}" pid="11" name="{A44787D4-0540-4523-9961-78E4036D8C6D}">
    <vt:lpwstr>{D531EF73-5F50-4401-A183-C1A54809C38B}</vt:lpwstr>
  </property>
</Properties>
</file>